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00" yWindow="260" windowWidth="25600" windowHeight="16980" tabRatio="405" activeTab="1"/>
  </bookViews>
  <sheets>
    <sheet name="mixed loop" sheetId="1" r:id="rId1"/>
    <sheet name="hilly loop" sheetId="2" r:id="rId2"/>
  </sheets>
  <definedNames>
    <definedName name="calc">'mixed loop'!$C$9:$C$38</definedName>
  </definedNames>
  <calcPr fullCalcOnLoad="1"/>
</workbook>
</file>

<file path=xl/sharedStrings.xml><?xml version="1.0" encoding="utf-8"?>
<sst xmlns="http://schemas.openxmlformats.org/spreadsheetml/2006/main" count="217" uniqueCount="67">
  <si>
    <t>Static Conditions</t>
  </si>
  <si>
    <t>weight:</t>
  </si>
  <si>
    <t>lbs</t>
  </si>
  <si>
    <t>A2 Values (adjust area and/or Cv to get these values):</t>
  </si>
  <si>
    <t>equip't weight:</t>
  </si>
  <si>
    <t>upright (hands on bar tops)</t>
  </si>
  <si>
    <t>temperature:</t>
  </si>
  <si>
    <t>F</t>
  </si>
  <si>
    <t>racing crouch (hands on drops, elbows bent)</t>
  </si>
  <si>
    <t>transmission:</t>
  </si>
  <si>
    <t>full downhill tuck</t>
  </si>
  <si>
    <t>R</t>
  </si>
  <si>
    <t>Segment:</t>
  </si>
  <si>
    <t>Dynamic Conditions:</t>
  </si>
  <si>
    <t>grade:</t>
  </si>
  <si>
    <t>headwind:</t>
  </si>
  <si>
    <t>distance:</t>
  </si>
  <si>
    <t>power:</t>
  </si>
  <si>
    <t>Cv</t>
  </si>
  <si>
    <t>area:</t>
  </si>
  <si>
    <t>Results:</t>
  </si>
  <si>
    <t>A2:</t>
  </si>
  <si>
    <t>climb, ft:</t>
  </si>
  <si>
    <t>Aero force</t>
  </si>
  <si>
    <t>Gravity force</t>
  </si>
  <si>
    <t>Rolling force</t>
  </si>
  <si>
    <t>V, mph:</t>
  </si>
  <si>
    <t>time, h:m:s</t>
  </si>
  <si>
    <t>Calories</t>
  </si>
  <si>
    <t>watt-h:</t>
  </si>
  <si>
    <t>f6</t>
  </si>
  <si>
    <t>h m/s</t>
  </si>
  <si>
    <t>starting v:</t>
  </si>
  <si>
    <t>Six</t>
  </si>
  <si>
    <t>f</t>
  </si>
  <si>
    <t>iterations</t>
  </si>
  <si>
    <t>f'</t>
  </si>
  <si>
    <t>of Newton's</t>
  </si>
  <si>
    <t>v1</t>
  </si>
  <si>
    <t>method:</t>
  </si>
  <si>
    <t>v2</t>
  </si>
  <si>
    <t>v3</t>
  </si>
  <si>
    <t>v4</t>
  </si>
  <si>
    <t>v5</t>
  </si>
  <si>
    <t>v6</t>
  </si>
  <si>
    <t>°C</t>
  </si>
  <si>
    <t>density</t>
  </si>
  <si>
    <t>Weight, n:</t>
  </si>
  <si>
    <t>density:</t>
  </si>
  <si>
    <t>A2</t>
  </si>
  <si>
    <t>standing</t>
  </si>
  <si>
    <t>crouch (hands on drops, elbows locked)</t>
  </si>
  <si>
    <t>racing crouch (hands on crops, elbows bent)</t>
  </si>
  <si>
    <t>end of pack of 1 or more riders</t>
  </si>
  <si>
    <t>in the middle of a pack</t>
  </si>
  <si>
    <t>0.004 to 0.0055</t>
  </si>
  <si>
    <t>narrow tubular</t>
  </si>
  <si>
    <t>26 x 1.125 inch tires</t>
  </si>
  <si>
    <t>efficiency:</t>
  </si>
  <si>
    <t>27 x 1.25 inch tires</t>
  </si>
  <si>
    <t>basal metab</t>
  </si>
  <si>
    <t>w/kg</t>
  </si>
  <si>
    <t>26 x 1.375</t>
  </si>
  <si>
    <t>for mountain bike tires</t>
  </si>
  <si>
    <t>R=.004 for racing tires; 0.012 for gnarley fat tires</t>
  </si>
  <si>
    <t>From Austin Image Cycling Photographics</t>
  </si>
  <si>
    <t xml:space="preserve">http://w3.iac.net/~curta/bp/programs.html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</si>
</sst>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11"/>
      <name val="Geneva"/>
      <family val="0"/>
    </font>
    <font>
      <sz val="10"/>
      <color indexed="17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Geneva"/>
      <family val="0"/>
    </font>
    <font>
      <b/>
      <sz val="14"/>
      <name val="Geneva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0" fillId="0" borderId="0" xfId="0" applyNumberFormat="1" applyAlignment="1">
      <alignment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1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167" fontId="0" fillId="0" borderId="4" xfId="0" applyNumberFormat="1" applyBorder="1" applyAlignment="1">
      <alignment/>
    </xf>
    <xf numFmtId="2" fontId="0" fillId="0" borderId="3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6" xfId="0" applyNumberFormat="1" applyBorder="1" applyAlignment="1">
      <alignment/>
    </xf>
    <xf numFmtId="2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21" fontId="0" fillId="0" borderId="3" xfId="0" applyNumberFormat="1" applyBorder="1" applyAlignment="1">
      <alignment/>
    </xf>
    <xf numFmtId="1" fontId="0" fillId="0" borderId="3" xfId="0" applyNumberFormat="1" applyBorder="1" applyAlignment="1">
      <alignment/>
    </xf>
    <xf numFmtId="168" fontId="0" fillId="0" borderId="5" xfId="0" applyNumberFormat="1" applyBorder="1" applyAlignment="1">
      <alignment/>
    </xf>
    <xf numFmtId="21" fontId="0" fillId="0" borderId="0" xfId="0" applyNumberFormat="1" applyBorder="1" applyAlignment="1">
      <alignment/>
    </xf>
    <xf numFmtId="21" fontId="0" fillId="0" borderId="4" xfId="0" applyNumberFormat="1" applyBorder="1" applyAlignment="1">
      <alignment/>
    </xf>
    <xf numFmtId="2" fontId="0" fillId="0" borderId="6" xfId="0" applyNumberFormat="1" applyBorder="1" applyAlignment="1">
      <alignment/>
    </xf>
    <xf numFmtId="167" fontId="0" fillId="0" borderId="3" xfId="0" applyNumberFormat="1" applyBorder="1" applyAlignment="1">
      <alignment/>
    </xf>
    <xf numFmtId="2" fontId="1" fillId="0" borderId="3" xfId="0" applyNumberFormat="1" applyFont="1" applyBorder="1" applyAlignment="1">
      <alignment/>
    </xf>
    <xf numFmtId="21" fontId="0" fillId="0" borderId="3" xfId="0" applyNumberFormat="1" applyFont="1" applyBorder="1" applyAlignment="1">
      <alignment/>
    </xf>
    <xf numFmtId="168" fontId="0" fillId="0" borderId="3" xfId="0" applyNumberFormat="1" applyBorder="1" applyAlignment="1">
      <alignment/>
    </xf>
    <xf numFmtId="0" fontId="1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6" xfId="0" applyFon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4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0" fontId="9" fillId="0" borderId="0" xfId="0" applyFont="1" applyAlignment="1">
      <alignment/>
    </xf>
    <xf numFmtId="0" fontId="6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3.iac.net/~curta/bp/program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workbookViewId="0" topLeftCell="A1">
      <selection activeCell="L29" sqref="L29"/>
    </sheetView>
  </sheetViews>
  <sheetFormatPr defaultColWidth="11.00390625" defaultRowHeight="12.75"/>
  <cols>
    <col min="1" max="1" width="8.25390625" style="0" customWidth="1"/>
    <col min="3" max="3" width="6.625" style="0" customWidth="1"/>
    <col min="4" max="4" width="8.00390625" style="0" customWidth="1"/>
    <col min="5" max="11" width="6.625" style="0" customWidth="1"/>
  </cols>
  <sheetData>
    <row r="1" spans="1:10" ht="12.75">
      <c r="A1" s="16" t="s">
        <v>0</v>
      </c>
      <c r="B1" s="2"/>
      <c r="C1" s="2"/>
      <c r="D1" s="10"/>
      <c r="G1" s="10"/>
      <c r="H1" s="10"/>
      <c r="I1" s="10"/>
      <c r="J1" s="2"/>
    </row>
    <row r="2" spans="1:10" ht="12.75">
      <c r="A2" s="3"/>
      <c r="B2" s="4" t="s">
        <v>1</v>
      </c>
      <c r="C2" s="39">
        <v>165</v>
      </c>
      <c r="D2" s="17" t="s">
        <v>2</v>
      </c>
      <c r="E2" s="1" t="s">
        <v>3</v>
      </c>
      <c r="F2" s="10"/>
      <c r="G2" s="10"/>
      <c r="H2" s="10"/>
      <c r="I2" s="10"/>
      <c r="J2" s="2"/>
    </row>
    <row r="3" spans="1:10" ht="12.75">
      <c r="A3" s="3"/>
      <c r="B3" s="4" t="s">
        <v>4</v>
      </c>
      <c r="C3" s="39">
        <v>26</v>
      </c>
      <c r="D3" s="17" t="s">
        <v>2</v>
      </c>
      <c r="E3" s="3">
        <v>0.267</v>
      </c>
      <c r="F3" s="17" t="s">
        <v>5</v>
      </c>
      <c r="G3" s="17"/>
      <c r="H3" s="17"/>
      <c r="I3" s="17"/>
      <c r="J3" s="4"/>
    </row>
    <row r="4" spans="1:10" ht="12.75">
      <c r="A4" s="3"/>
      <c r="B4" s="4" t="s">
        <v>6</v>
      </c>
      <c r="C4" s="39">
        <v>70</v>
      </c>
      <c r="D4" s="17" t="s">
        <v>7</v>
      </c>
      <c r="E4" s="3">
        <v>0.167</v>
      </c>
      <c r="F4" s="17" t="s">
        <v>8</v>
      </c>
      <c r="G4" s="17"/>
      <c r="H4" s="17"/>
      <c r="I4" s="17"/>
      <c r="J4" s="4"/>
    </row>
    <row r="5" spans="1:10" ht="12.75">
      <c r="A5" s="3"/>
      <c r="B5" s="4" t="s">
        <v>9</v>
      </c>
      <c r="C5" s="39">
        <v>0.95</v>
      </c>
      <c r="D5" s="17"/>
      <c r="E5" s="3">
        <v>0.145</v>
      </c>
      <c r="F5" s="17" t="s">
        <v>10</v>
      </c>
      <c r="G5" s="17"/>
      <c r="H5" s="17"/>
      <c r="I5" s="17"/>
      <c r="J5" s="4"/>
    </row>
    <row r="6" spans="1:10" ht="12.75">
      <c r="A6" s="5"/>
      <c r="B6" s="6" t="s">
        <v>11</v>
      </c>
      <c r="C6" s="40">
        <v>0.024</v>
      </c>
      <c r="D6" s="11"/>
      <c r="E6" s="12" t="s">
        <v>64</v>
      </c>
      <c r="F6" s="13"/>
      <c r="G6" s="13"/>
      <c r="H6" s="13"/>
      <c r="I6" s="13"/>
      <c r="J6" s="14"/>
    </row>
    <row r="7" spans="1:11" ht="12.75">
      <c r="A7" s="38" t="s">
        <v>12</v>
      </c>
      <c r="B7" s="4"/>
      <c r="C7">
        <v>1</v>
      </c>
      <c r="D7" s="17">
        <v>2</v>
      </c>
      <c r="E7">
        <v>3</v>
      </c>
      <c r="F7" s="17">
        <v>4</v>
      </c>
      <c r="G7">
        <v>5</v>
      </c>
      <c r="H7" s="17">
        <v>6</v>
      </c>
      <c r="I7">
        <v>7</v>
      </c>
      <c r="J7" s="17">
        <v>8</v>
      </c>
      <c r="K7">
        <v>9</v>
      </c>
    </row>
    <row r="8" spans="1:11" ht="12.75">
      <c r="A8" s="16" t="s">
        <v>13</v>
      </c>
      <c r="B8" s="2"/>
      <c r="C8" s="1"/>
      <c r="D8" s="10"/>
      <c r="E8" s="10"/>
      <c r="F8" s="10"/>
      <c r="G8" s="10"/>
      <c r="H8" s="10"/>
      <c r="I8" s="10"/>
      <c r="J8" s="10"/>
      <c r="K8" s="2"/>
    </row>
    <row r="9" spans="1:11" ht="12.75">
      <c r="A9" s="3"/>
      <c r="B9" s="4" t="s">
        <v>14</v>
      </c>
      <c r="C9" s="41">
        <v>0</v>
      </c>
      <c r="D9" s="42">
        <v>0.05</v>
      </c>
      <c r="E9" s="42">
        <v>0</v>
      </c>
      <c r="F9" s="42">
        <v>-0.1</v>
      </c>
      <c r="G9" s="42">
        <v>0.1</v>
      </c>
      <c r="H9" s="42">
        <v>-0.025</v>
      </c>
      <c r="I9" s="42">
        <v>0.025</v>
      </c>
      <c r="J9" s="42">
        <v>0</v>
      </c>
      <c r="K9" s="43">
        <v>-0.05</v>
      </c>
    </row>
    <row r="10" spans="1:11" ht="12.75">
      <c r="A10" s="3"/>
      <c r="B10" s="4" t="s">
        <v>15</v>
      </c>
      <c r="C10" s="41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3">
        <v>0</v>
      </c>
    </row>
    <row r="11" spans="1:11" ht="12.75">
      <c r="A11" s="29">
        <f>SUM(C11:K11)</f>
        <v>13.5</v>
      </c>
      <c r="B11" s="4" t="s">
        <v>16</v>
      </c>
      <c r="C11" s="41">
        <v>0.5</v>
      </c>
      <c r="D11" s="42">
        <v>2</v>
      </c>
      <c r="E11" s="42">
        <v>0.5</v>
      </c>
      <c r="F11" s="42">
        <v>1</v>
      </c>
      <c r="G11" s="42">
        <v>0.5</v>
      </c>
      <c r="H11" s="42">
        <v>2</v>
      </c>
      <c r="I11" s="42">
        <v>4</v>
      </c>
      <c r="J11" s="42">
        <v>1</v>
      </c>
      <c r="K11" s="43">
        <v>2</v>
      </c>
    </row>
    <row r="12" spans="1:11" ht="12.75">
      <c r="A12" s="29">
        <f>SUM(C24:K24)/A22/24</f>
        <v>144.51266469429706</v>
      </c>
      <c r="B12" s="4" t="s">
        <v>17</v>
      </c>
      <c r="C12" s="41">
        <v>150</v>
      </c>
      <c r="D12" s="42">
        <v>150</v>
      </c>
      <c r="E12" s="42">
        <v>150</v>
      </c>
      <c r="F12" s="42">
        <v>0</v>
      </c>
      <c r="G12" s="42">
        <v>150</v>
      </c>
      <c r="H12" s="42">
        <v>150</v>
      </c>
      <c r="I12" s="42">
        <v>150</v>
      </c>
      <c r="J12" s="42">
        <v>150</v>
      </c>
      <c r="K12" s="43">
        <v>100</v>
      </c>
    </row>
    <row r="13" spans="1:11" ht="12.75">
      <c r="A13" s="3"/>
      <c r="B13" s="4" t="s">
        <v>18</v>
      </c>
      <c r="C13" s="41">
        <v>0.9</v>
      </c>
      <c r="D13" s="42">
        <v>0.9</v>
      </c>
      <c r="E13" s="42">
        <v>0.9</v>
      </c>
      <c r="F13" s="42">
        <v>0.9</v>
      </c>
      <c r="G13" s="42">
        <v>0.9</v>
      </c>
      <c r="H13" s="42">
        <v>0.9</v>
      </c>
      <c r="I13" s="42">
        <v>0.9</v>
      </c>
      <c r="J13" s="42">
        <v>0.9</v>
      </c>
      <c r="K13" s="43">
        <v>0.9</v>
      </c>
    </row>
    <row r="14" spans="1:11" ht="12.75">
      <c r="A14" s="5"/>
      <c r="B14" s="6" t="s">
        <v>19</v>
      </c>
      <c r="C14" s="44">
        <v>0.46</v>
      </c>
      <c r="D14" s="45">
        <v>0.46</v>
      </c>
      <c r="E14" s="45">
        <v>0.46</v>
      </c>
      <c r="F14" s="45">
        <v>0.46</v>
      </c>
      <c r="G14" s="45">
        <v>0.3</v>
      </c>
      <c r="H14" s="45">
        <v>0.46</v>
      </c>
      <c r="I14" s="45">
        <v>0.3</v>
      </c>
      <c r="J14" s="45">
        <v>0.3</v>
      </c>
      <c r="K14" s="46">
        <v>0.46</v>
      </c>
    </row>
    <row r="15" spans="1:11" ht="12.75">
      <c r="A15" s="16" t="s">
        <v>20</v>
      </c>
      <c r="B15" s="2"/>
      <c r="C15" s="1"/>
      <c r="D15" s="10"/>
      <c r="E15" s="10"/>
      <c r="F15" s="10"/>
      <c r="G15" s="10"/>
      <c r="H15" s="10"/>
      <c r="I15" s="10"/>
      <c r="J15" s="10"/>
      <c r="K15" s="2"/>
    </row>
    <row r="16" spans="1:11" ht="12.75">
      <c r="A16" s="3"/>
      <c r="B16" s="4" t="s">
        <v>21</v>
      </c>
      <c r="C16" s="34">
        <f aca="true" t="shared" si="0" ref="C16:K16">C13*$H$52*0.5*C14</f>
        <v>0.24844370000000002</v>
      </c>
      <c r="D16" s="18">
        <f t="shared" si="0"/>
        <v>0.24844370000000002</v>
      </c>
      <c r="E16" s="18">
        <f t="shared" si="0"/>
        <v>0.24844370000000002</v>
      </c>
      <c r="F16" s="18">
        <f t="shared" si="0"/>
        <v>0.24844370000000002</v>
      </c>
      <c r="G16" s="18">
        <f t="shared" si="0"/>
        <v>0.1620285</v>
      </c>
      <c r="H16" s="18">
        <f t="shared" si="0"/>
        <v>0.24844370000000002</v>
      </c>
      <c r="I16" s="18">
        <f t="shared" si="0"/>
        <v>0.1620285</v>
      </c>
      <c r="J16" s="18">
        <f t="shared" si="0"/>
        <v>0.1620285</v>
      </c>
      <c r="K16" s="19">
        <f t="shared" si="0"/>
        <v>0.24844370000000002</v>
      </c>
    </row>
    <row r="17" spans="1:11" ht="12.75">
      <c r="A17" s="29">
        <f>SUM(C17:K17)</f>
        <v>0</v>
      </c>
      <c r="B17" s="4" t="s">
        <v>22</v>
      </c>
      <c r="C17" s="29">
        <f aca="true" t="shared" si="1" ref="C17:K17">C11*C9*5280</f>
        <v>0</v>
      </c>
      <c r="D17" s="21">
        <f t="shared" si="1"/>
        <v>528</v>
      </c>
      <c r="E17" s="21">
        <f t="shared" si="1"/>
        <v>0</v>
      </c>
      <c r="F17" s="21">
        <f t="shared" si="1"/>
        <v>-528</v>
      </c>
      <c r="G17" s="21">
        <f t="shared" si="1"/>
        <v>264</v>
      </c>
      <c r="H17" s="21">
        <f t="shared" si="1"/>
        <v>-264</v>
      </c>
      <c r="I17" s="21">
        <f t="shared" si="1"/>
        <v>528</v>
      </c>
      <c r="J17" s="21">
        <f t="shared" si="1"/>
        <v>0</v>
      </c>
      <c r="K17" s="22">
        <f t="shared" si="1"/>
        <v>-528</v>
      </c>
    </row>
    <row r="18" spans="1:11" ht="12.75">
      <c r="A18" s="29"/>
      <c r="B18" s="4" t="s">
        <v>23</v>
      </c>
      <c r="C18" s="37">
        <f aca="true" t="shared" si="2" ref="C18:K18">(C43+C27)^2*C16</f>
        <v>6.8164355914014365</v>
      </c>
      <c r="D18" s="47">
        <f t="shared" si="2"/>
        <v>1.2278882934245787</v>
      </c>
      <c r="E18" s="47">
        <f t="shared" si="2"/>
        <v>6.8164355914014365</v>
      </c>
      <c r="F18" s="47">
        <f t="shared" si="2"/>
        <v>64.57007119999999</v>
      </c>
      <c r="G18" s="47">
        <f t="shared" si="2"/>
        <v>0.2947917652791474</v>
      </c>
      <c r="H18" s="47">
        <f t="shared" si="2"/>
        <v>17.721953911223423</v>
      </c>
      <c r="I18" s="47">
        <f t="shared" si="2"/>
        <v>1.7484730674726778</v>
      </c>
      <c r="J18" s="47">
        <f t="shared" si="2"/>
        <v>5.07402083598094</v>
      </c>
      <c r="K18" s="48">
        <f t="shared" si="2"/>
        <v>30.643715505859454</v>
      </c>
    </row>
    <row r="19" spans="1:11" ht="12.75">
      <c r="A19" s="29"/>
      <c r="B19" s="4" t="s">
        <v>24</v>
      </c>
      <c r="C19" s="37">
        <f aca="true" t="shared" si="3" ref="C19:K19">C9*$F$50</f>
        <v>0</v>
      </c>
      <c r="D19" s="47">
        <f t="shared" si="3"/>
        <v>42.48031</v>
      </c>
      <c r="E19" s="47">
        <f t="shared" si="3"/>
        <v>0</v>
      </c>
      <c r="F19" s="47">
        <f t="shared" si="3"/>
        <v>-84.96062</v>
      </c>
      <c r="G19" s="47">
        <f t="shared" si="3"/>
        <v>84.96062</v>
      </c>
      <c r="H19" s="47">
        <f t="shared" si="3"/>
        <v>-21.240155</v>
      </c>
      <c r="I19" s="47">
        <f t="shared" si="3"/>
        <v>21.240155</v>
      </c>
      <c r="J19" s="47">
        <f t="shared" si="3"/>
        <v>0</v>
      </c>
      <c r="K19" s="48">
        <f t="shared" si="3"/>
        <v>-42.48031</v>
      </c>
    </row>
    <row r="20" spans="1:11" ht="12.75">
      <c r="A20" s="29"/>
      <c r="B20" s="4" t="s">
        <v>25</v>
      </c>
      <c r="C20" s="37">
        <f>$G$51</f>
        <v>20.390548799999998</v>
      </c>
      <c r="D20" s="47">
        <f aca="true" t="shared" si="4" ref="D20:K20">$G$51</f>
        <v>20.390548799999998</v>
      </c>
      <c r="E20" s="47">
        <f t="shared" si="4"/>
        <v>20.390548799999998</v>
      </c>
      <c r="F20" s="47">
        <f t="shared" si="4"/>
        <v>20.390548799999998</v>
      </c>
      <c r="G20" s="47">
        <f t="shared" si="4"/>
        <v>20.390548799999998</v>
      </c>
      <c r="H20" s="47">
        <f t="shared" si="4"/>
        <v>20.390548799999998</v>
      </c>
      <c r="I20" s="47">
        <f t="shared" si="4"/>
        <v>20.390548799999998</v>
      </c>
      <c r="J20" s="47">
        <f t="shared" si="4"/>
        <v>20.390548799999998</v>
      </c>
      <c r="K20" s="48">
        <f t="shared" si="4"/>
        <v>20.390548799999998</v>
      </c>
    </row>
    <row r="21" spans="1:11" ht="12.75">
      <c r="A21" s="20">
        <f>A11/A22/24</f>
        <v>9.050946951601851</v>
      </c>
      <c r="B21" s="4" t="s">
        <v>26</v>
      </c>
      <c r="C21" s="35">
        <f aca="true" t="shared" si="5" ref="C21:K21">IF(C26&lt;0.05,C46/0.44704,"error")</f>
        <v>11.71650708210806</v>
      </c>
      <c r="D21" s="49">
        <f t="shared" si="5"/>
        <v>4.973005543674631</v>
      </c>
      <c r="E21" s="49">
        <f>IF(E26&lt;0.05,E46/0.44704,"error")</f>
        <v>11.71650708210806</v>
      </c>
      <c r="F21" s="49">
        <f>IF(F26&lt;0.05,F46/0.44704,"error")</f>
        <v>36.06245212846066</v>
      </c>
      <c r="G21" s="49">
        <f>IF(G26&lt;0.05,G46/0.44704,"error")</f>
        <v>3.0172797891386196</v>
      </c>
      <c r="H21" s="49">
        <f t="shared" si="5"/>
        <v>18.892726146966147</v>
      </c>
      <c r="I21" s="49">
        <f t="shared" si="5"/>
        <v>7.348305250432801</v>
      </c>
      <c r="J21" s="49">
        <f t="shared" si="5"/>
        <v>12.517934615619621</v>
      </c>
      <c r="K21" s="50">
        <f t="shared" si="5"/>
        <v>24.84335971144876</v>
      </c>
    </row>
    <row r="22" spans="1:11" ht="12.75">
      <c r="A22" s="36">
        <f>SUM(C22:K22)</f>
        <v>0.062148193223080135</v>
      </c>
      <c r="B22" s="4" t="s">
        <v>27</v>
      </c>
      <c r="C22" s="28">
        <f aca="true" t="shared" si="6" ref="C22:K22">C11/C21/24</f>
        <v>0.0017781181018656415</v>
      </c>
      <c r="D22" s="31">
        <f t="shared" si="6"/>
        <v>0.016757136625220215</v>
      </c>
      <c r="E22" s="31">
        <f t="shared" si="6"/>
        <v>0.0017781181018656415</v>
      </c>
      <c r="F22" s="31">
        <f t="shared" si="6"/>
        <v>0.0011554030357736858</v>
      </c>
      <c r="G22" s="31">
        <f t="shared" si="6"/>
        <v>0.0069046740074711075</v>
      </c>
      <c r="H22" s="31">
        <f t="shared" si="6"/>
        <v>0.004410868642518023</v>
      </c>
      <c r="I22" s="31">
        <f t="shared" si="6"/>
        <v>0.02268096669730076</v>
      </c>
      <c r="J22" s="31">
        <f t="shared" si="6"/>
        <v>0.0033285576212129958</v>
      </c>
      <c r="K22" s="32">
        <f t="shared" si="6"/>
        <v>0.0033543503898520693</v>
      </c>
    </row>
    <row r="23" spans="1:11" ht="12.75">
      <c r="A23" s="29">
        <f>SUM(C23:K23)</f>
        <v>878.9951637680526</v>
      </c>
      <c r="B23" s="4" t="s">
        <v>28</v>
      </c>
      <c r="C23" s="29">
        <f aca="true" t="shared" si="7" ref="C23:K23">($H$50+C12*$D$66)/1.163*C22*24</f>
        <v>25.957514367961835</v>
      </c>
      <c r="D23" s="21">
        <f t="shared" si="7"/>
        <v>244.62582899227507</v>
      </c>
      <c r="E23" s="21">
        <f t="shared" si="7"/>
        <v>25.957514367961835</v>
      </c>
      <c r="F23" s="21">
        <f t="shared" si="7"/>
        <v>2.5035388221407464</v>
      </c>
      <c r="G23" s="21">
        <f t="shared" si="7"/>
        <v>100.79655258386586</v>
      </c>
      <c r="H23" s="21">
        <f t="shared" si="7"/>
        <v>64.3912156584104</v>
      </c>
      <c r="I23" s="21">
        <f t="shared" si="7"/>
        <v>331.10372044844905</v>
      </c>
      <c r="J23" s="21">
        <f t="shared" si="7"/>
        <v>48.591306835339694</v>
      </c>
      <c r="K23" s="22">
        <f t="shared" si="7"/>
        <v>35.06797169164826</v>
      </c>
    </row>
    <row r="24" spans="1:11" ht="12.75">
      <c r="A24" s="30">
        <f>SUM(C24:K24)</f>
        <v>215.54882420648076</v>
      </c>
      <c r="B24" s="33" t="s">
        <v>29</v>
      </c>
      <c r="C24" s="23">
        <f>C22*C12*24</f>
        <v>6.401225166716309</v>
      </c>
      <c r="D24" s="24">
        <f aca="true" t="shared" si="8" ref="D24:K24">D22*D12*24</f>
        <v>60.32569185079278</v>
      </c>
      <c r="E24" s="24">
        <f t="shared" si="8"/>
        <v>6.401225166716309</v>
      </c>
      <c r="F24" s="24">
        <f t="shared" si="8"/>
        <v>0</v>
      </c>
      <c r="G24" s="24">
        <f t="shared" si="8"/>
        <v>24.856826426895985</v>
      </c>
      <c r="H24" s="24">
        <f t="shared" si="8"/>
        <v>15.879127113064882</v>
      </c>
      <c r="I24" s="24">
        <f t="shared" si="8"/>
        <v>81.65148011028273</v>
      </c>
      <c r="J24" s="24">
        <f t="shared" si="8"/>
        <v>11.982807436366784</v>
      </c>
      <c r="K24" s="25">
        <f t="shared" si="8"/>
        <v>8.050440935644966</v>
      </c>
    </row>
    <row r="25" spans="1:11" ht="12.75">
      <c r="A25" s="15"/>
      <c r="B25" s="7"/>
      <c r="C25" s="15"/>
      <c r="D25" s="15"/>
      <c r="E25" s="15"/>
      <c r="F25" s="15"/>
      <c r="G25" s="15"/>
      <c r="H25" s="15"/>
      <c r="I25" s="15"/>
      <c r="J25" s="15"/>
      <c r="K25" s="15"/>
    </row>
    <row r="26" spans="2:11" ht="12.75">
      <c r="B26" t="s">
        <v>30</v>
      </c>
      <c r="C26" s="27">
        <f aca="true" t="shared" si="9" ref="C26:K26">C46*(C$16*(C46+C$27)^2+$F$50*($C$6+C$9))-$C$5*C$12</f>
        <v>2.3010252903077344E-07</v>
      </c>
      <c r="D26" s="27">
        <f t="shared" si="9"/>
        <v>4.831690603168681E-13</v>
      </c>
      <c r="E26" s="27">
        <f t="shared" si="9"/>
        <v>2.3010252903077344E-07</v>
      </c>
      <c r="F26" s="27">
        <f t="shared" si="9"/>
        <v>-2.290982848692672E-13</v>
      </c>
      <c r="G26" s="27">
        <f t="shared" si="9"/>
        <v>0</v>
      </c>
      <c r="H26" s="27">
        <f t="shared" si="9"/>
        <v>1.4981367257860256E-09</v>
      </c>
      <c r="I26" s="27">
        <f t="shared" si="9"/>
        <v>3.439026841078885E-12</v>
      </c>
      <c r="J26" s="27">
        <f t="shared" si="9"/>
        <v>8.282086128019728E-10</v>
      </c>
      <c r="K26" s="27">
        <f t="shared" si="9"/>
        <v>1.2789769243681803E-13</v>
      </c>
    </row>
    <row r="27" spans="2:11" ht="12.75">
      <c r="B27" t="s">
        <v>31</v>
      </c>
      <c r="C27">
        <f aca="true" t="shared" si="10" ref="C27:K27">C10*0.44704</f>
        <v>0</v>
      </c>
      <c r="D27">
        <f t="shared" si="10"/>
        <v>0</v>
      </c>
      <c r="E27">
        <f t="shared" si="10"/>
        <v>0</v>
      </c>
      <c r="F27">
        <f t="shared" si="10"/>
        <v>0</v>
      </c>
      <c r="G27">
        <f t="shared" si="10"/>
        <v>0</v>
      </c>
      <c r="H27">
        <f t="shared" si="10"/>
        <v>0</v>
      </c>
      <c r="I27">
        <f t="shared" si="10"/>
        <v>0</v>
      </c>
      <c r="J27">
        <f t="shared" si="10"/>
        <v>0</v>
      </c>
      <c r="K27">
        <f t="shared" si="10"/>
        <v>0</v>
      </c>
    </row>
    <row r="28" spans="2:11" ht="12.75">
      <c r="B28" t="s">
        <v>32</v>
      </c>
      <c r="C28">
        <v>20</v>
      </c>
      <c r="D28">
        <v>20</v>
      </c>
      <c r="E28">
        <v>20</v>
      </c>
      <c r="F28">
        <v>20</v>
      </c>
      <c r="G28">
        <v>20</v>
      </c>
      <c r="H28">
        <v>20</v>
      </c>
      <c r="I28">
        <v>21</v>
      </c>
      <c r="J28">
        <v>20</v>
      </c>
      <c r="K28">
        <v>20</v>
      </c>
    </row>
    <row r="29" spans="1:11" ht="12.75">
      <c r="A29" t="s">
        <v>33</v>
      </c>
      <c r="B29" t="s">
        <v>34</v>
      </c>
      <c r="C29" s="7">
        <f aca="true" t="shared" si="11" ref="C29:K29">C28*(C$16*(C28+C$27)^2+$F$50*($C$6+C$9))-$C$5*C$12</f>
        <v>2252.860576</v>
      </c>
      <c r="D29" s="7">
        <f t="shared" si="11"/>
        <v>3102.466776</v>
      </c>
      <c r="E29" s="7">
        <f t="shared" si="11"/>
        <v>2252.860576</v>
      </c>
      <c r="F29" s="7">
        <f t="shared" si="11"/>
        <v>696.1481760000001</v>
      </c>
      <c r="G29" s="7">
        <f t="shared" si="11"/>
        <v>3260.7513759999993</v>
      </c>
      <c r="H29" s="7">
        <f t="shared" si="11"/>
        <v>1828.0574760000002</v>
      </c>
      <c r="I29" s="7">
        <f t="shared" si="11"/>
        <v>2232.2907182999998</v>
      </c>
      <c r="J29" s="7">
        <f t="shared" si="11"/>
        <v>1561.5389759999998</v>
      </c>
      <c r="K29" s="7">
        <f t="shared" si="11"/>
        <v>1450.754376</v>
      </c>
    </row>
    <row r="30" spans="1:11" ht="12.75">
      <c r="A30" t="s">
        <v>35</v>
      </c>
      <c r="B30" t="s">
        <v>36</v>
      </c>
      <c r="C30" s="7">
        <f aca="true" t="shared" si="12" ref="C30:K30">C$16*(3*C28+C$27)*(C28+C$27)+$F$50*($C$6+C$9)</f>
        <v>318.5229888</v>
      </c>
      <c r="D30" s="7">
        <f t="shared" si="12"/>
        <v>361.00329880000004</v>
      </c>
      <c r="E30" s="7">
        <f t="shared" si="12"/>
        <v>318.5229888</v>
      </c>
      <c r="F30" s="7">
        <f t="shared" si="12"/>
        <v>233.56236880000003</v>
      </c>
      <c r="G30" s="7">
        <f t="shared" si="12"/>
        <v>299.7853688</v>
      </c>
      <c r="H30" s="7">
        <f t="shared" si="12"/>
        <v>297.28283380000005</v>
      </c>
      <c r="I30" s="7">
        <f t="shared" si="12"/>
        <v>255.99440929999997</v>
      </c>
      <c r="J30" s="7">
        <f t="shared" si="12"/>
        <v>214.8247488</v>
      </c>
      <c r="K30" s="7">
        <f t="shared" si="12"/>
        <v>276.04267880000003</v>
      </c>
    </row>
    <row r="31" spans="1:11" ht="12.75">
      <c r="A31" t="s">
        <v>37</v>
      </c>
      <c r="B31" t="s">
        <v>38</v>
      </c>
      <c r="C31" s="26">
        <f aca="true" t="shared" si="13" ref="C31:K31">C28-C29/C30</f>
        <v>12.927164897932792</v>
      </c>
      <c r="D31" s="26">
        <f t="shared" si="13"/>
        <v>11.40598773941176</v>
      </c>
      <c r="E31" s="26">
        <f t="shared" si="13"/>
        <v>12.927164897932792</v>
      </c>
      <c r="F31" s="26">
        <f t="shared" si="13"/>
        <v>17.01943348332747</v>
      </c>
      <c r="G31" s="26">
        <f t="shared" si="13"/>
        <v>9.123046968394947</v>
      </c>
      <c r="H31" s="26">
        <f t="shared" si="13"/>
        <v>13.850780239703166</v>
      </c>
      <c r="I31" s="26">
        <f t="shared" si="13"/>
        <v>12.279923946760974</v>
      </c>
      <c r="J31" s="26">
        <f t="shared" si="13"/>
        <v>12.731102981743602</v>
      </c>
      <c r="K31" s="26">
        <f t="shared" si="13"/>
        <v>14.744456247466324</v>
      </c>
    </row>
    <row r="32" spans="1:11" ht="12.75">
      <c r="A32" t="s">
        <v>39</v>
      </c>
      <c r="B32" t="s">
        <v>34</v>
      </c>
      <c r="C32" s="7">
        <f aca="true" t="shared" si="14" ref="C32:K32">C31*(C$16*(C31+C$27)^2+$F$50*($C$6+C$9))-$C$5*C$12</f>
        <v>657.7997218172654</v>
      </c>
      <c r="D32" s="7">
        <f t="shared" si="14"/>
        <v>943.2648141786392</v>
      </c>
      <c r="E32" s="7">
        <f t="shared" si="14"/>
        <v>657.7997218172654</v>
      </c>
      <c r="F32" s="7">
        <f t="shared" si="14"/>
        <v>125.84863899141311</v>
      </c>
      <c r="G32" s="7">
        <f t="shared" si="14"/>
        <v>941.6536950608331</v>
      </c>
      <c r="H32" s="7">
        <f t="shared" si="14"/>
        <v>505.8945686420277</v>
      </c>
      <c r="I32" s="7">
        <f t="shared" si="14"/>
        <v>668.7613832246312</v>
      </c>
      <c r="J32" s="7">
        <f t="shared" si="14"/>
        <v>451.4350749096625</v>
      </c>
      <c r="K32" s="7">
        <f t="shared" si="14"/>
        <v>375.66734611913216</v>
      </c>
    </row>
    <row r="33" spans="2:11" ht="12.75">
      <c r="B33" t="s">
        <v>36</v>
      </c>
      <c r="C33" s="7">
        <f aca="true" t="shared" si="15" ref="C33:K33">C$16*(3*C31+C$27)*(C31+C$27)+$F$50*($C$6+C$9)</f>
        <v>144.94401571047757</v>
      </c>
      <c r="D33" s="7">
        <f t="shared" si="15"/>
        <v>159.8358682219453</v>
      </c>
      <c r="E33" s="7">
        <f t="shared" si="15"/>
        <v>144.94401571047757</v>
      </c>
      <c r="F33" s="7">
        <f t="shared" si="15"/>
        <v>151.3233670851277</v>
      </c>
      <c r="G33" s="7">
        <f t="shared" si="15"/>
        <v>145.8080581537465</v>
      </c>
      <c r="H33" s="7">
        <f t="shared" si="15"/>
        <v>142.13777775606758</v>
      </c>
      <c r="I33" s="7">
        <f t="shared" si="15"/>
        <v>114.93071152267936</v>
      </c>
      <c r="J33" s="7">
        <f t="shared" si="15"/>
        <v>99.17576452609353</v>
      </c>
      <c r="K33" s="7">
        <f t="shared" si="15"/>
        <v>139.94446718051938</v>
      </c>
    </row>
    <row r="34" spans="2:11" ht="12.75">
      <c r="B34" t="s">
        <v>40</v>
      </c>
      <c r="C34" s="26">
        <f aca="true" t="shared" si="16" ref="C34:K34">C31-C32/C33</f>
        <v>8.388862860467475</v>
      </c>
      <c r="D34" s="26">
        <f t="shared" si="16"/>
        <v>5.504528794859727</v>
      </c>
      <c r="E34" s="26">
        <f t="shared" si="16"/>
        <v>8.388862860467475</v>
      </c>
      <c r="F34" s="26">
        <f t="shared" si="16"/>
        <v>16.187779777653475</v>
      </c>
      <c r="G34" s="26">
        <f t="shared" si="16"/>
        <v>2.6648737577764248</v>
      </c>
      <c r="H34" s="26">
        <f t="shared" si="16"/>
        <v>10.29159578762718</v>
      </c>
      <c r="I34" s="26">
        <f t="shared" si="16"/>
        <v>6.461101681028597</v>
      </c>
      <c r="J34" s="26">
        <f t="shared" si="16"/>
        <v>8.179234114719257</v>
      </c>
      <c r="K34" s="26">
        <f t="shared" si="16"/>
        <v>12.060053257567871</v>
      </c>
    </row>
    <row r="35" spans="2:11" ht="12.75">
      <c r="B35" t="s">
        <v>34</v>
      </c>
      <c r="C35" s="7">
        <f aca="true" t="shared" si="17" ref="C35:K35">C34*(C$16*(C34+C$27)^2+$F$50*($C$6+C$9))-$C$5*C$12</f>
        <v>175.2221600842389</v>
      </c>
      <c r="D35" s="7">
        <f t="shared" si="17"/>
        <v>245.0114647222893</v>
      </c>
      <c r="E35" s="7">
        <f t="shared" si="17"/>
        <v>175.2221600842389</v>
      </c>
      <c r="F35" s="7">
        <f t="shared" si="17"/>
        <v>8.630723966970201</v>
      </c>
      <c r="G35" s="7">
        <f t="shared" si="17"/>
        <v>141.31391231324557</v>
      </c>
      <c r="H35" s="7">
        <f t="shared" si="17"/>
        <v>119.5733380963323</v>
      </c>
      <c r="I35" s="7">
        <f t="shared" si="17"/>
        <v>170.1831990909273</v>
      </c>
      <c r="J35" s="7">
        <f t="shared" si="17"/>
        <v>112.93939943523989</v>
      </c>
      <c r="K35" s="7">
        <f t="shared" si="17"/>
        <v>74.3847030920264</v>
      </c>
    </row>
    <row r="36" spans="2:11" ht="12.75">
      <c r="B36" t="s">
        <v>36</v>
      </c>
      <c r="C36" s="7">
        <f aca="true" t="shared" si="18" ref="C36:K36">C$16*(3*C34+C$27)*(C34+C$27)+$F$50*($C$6+C$9)</f>
        <v>72.84174927529162</v>
      </c>
      <c r="D36" s="7">
        <f t="shared" si="18"/>
        <v>85.45426982992734</v>
      </c>
      <c r="E36" s="7">
        <f t="shared" si="18"/>
        <v>72.84174927529162</v>
      </c>
      <c r="F36" s="7">
        <f t="shared" si="18"/>
        <v>130.73963116600444</v>
      </c>
      <c r="G36" s="7">
        <f t="shared" si="18"/>
        <v>108.80313032512271</v>
      </c>
      <c r="H36" s="7">
        <f t="shared" si="18"/>
        <v>78.09358607276032</v>
      </c>
      <c r="I36" s="7">
        <f t="shared" si="18"/>
        <v>61.92274884612575</v>
      </c>
      <c r="J36" s="7">
        <f t="shared" si="18"/>
        <v>52.90960590079137</v>
      </c>
      <c r="K36" s="7">
        <f t="shared" si="18"/>
        <v>86.3148346099361</v>
      </c>
    </row>
    <row r="37" spans="2:11" ht="12.75">
      <c r="B37" t="s">
        <v>41</v>
      </c>
      <c r="C37" s="26">
        <f aca="true" t="shared" si="19" ref="C37:K37">C34-C35/C36</f>
        <v>5.9833445714705995</v>
      </c>
      <c r="D37" s="26">
        <f t="shared" si="19"/>
        <v>2.637364108883056</v>
      </c>
      <c r="E37" s="26">
        <f t="shared" si="19"/>
        <v>5.9833445714705995</v>
      </c>
      <c r="F37" s="26">
        <f t="shared" si="19"/>
        <v>16.121765181390682</v>
      </c>
      <c r="G37" s="26">
        <f t="shared" si="19"/>
        <v>1.366070020319837</v>
      </c>
      <c r="H37" s="26">
        <f t="shared" si="19"/>
        <v>8.760441385459952</v>
      </c>
      <c r="I37" s="26">
        <f t="shared" si="19"/>
        <v>3.7127870105377547</v>
      </c>
      <c r="J37" s="26">
        <f t="shared" si="19"/>
        <v>6.044661431509182</v>
      </c>
      <c r="K37" s="26">
        <f t="shared" si="19"/>
        <v>11.198269724897305</v>
      </c>
    </row>
    <row r="38" spans="2:11" ht="12.75">
      <c r="B38" t="s">
        <v>34</v>
      </c>
      <c r="C38" s="7">
        <f aca="true" t="shared" si="20" ref="C38:K38">C37*(C$16*(C37+C$27)^2+$F$50*($C$6+C$9))-$C$5*C$12</f>
        <v>32.72186094854291</v>
      </c>
      <c r="D38" s="7">
        <f t="shared" si="20"/>
        <v>27.870968081697157</v>
      </c>
      <c r="E38" s="7">
        <f t="shared" si="20"/>
        <v>32.72186094854291</v>
      </c>
      <c r="F38" s="7">
        <f t="shared" si="20"/>
        <v>0.05250802867490963</v>
      </c>
      <c r="G38" s="7">
        <f t="shared" si="20"/>
        <v>1.8301305946963566</v>
      </c>
      <c r="H38" s="7">
        <f t="shared" si="20"/>
        <v>17.091486834727306</v>
      </c>
      <c r="I38" s="7">
        <f t="shared" si="20"/>
        <v>20.358551624434057</v>
      </c>
      <c r="J38" s="7">
        <f t="shared" si="20"/>
        <v>16.539485609918415</v>
      </c>
      <c r="K38" s="7">
        <f t="shared" si="20"/>
        <v>6.516660550993166</v>
      </c>
    </row>
    <row r="39" spans="2:11" ht="12.75">
      <c r="B39" t="s">
        <v>36</v>
      </c>
      <c r="C39" s="7">
        <f aca="true" t="shared" si="21" ref="C39:K39">C$16*(3*C37+C$27)*(C37+C$27)+$F$50*($C$6+C$9)</f>
        <v>47.073709450904886</v>
      </c>
      <c r="D39" s="7">
        <f t="shared" si="21"/>
        <v>68.05515046367879</v>
      </c>
      <c r="E39" s="7">
        <f t="shared" si="21"/>
        <v>47.073709450904886</v>
      </c>
      <c r="F39" s="7">
        <f t="shared" si="21"/>
        <v>129.14991329569608</v>
      </c>
      <c r="G39" s="7">
        <f t="shared" si="21"/>
        <v>106.25827594359667</v>
      </c>
      <c r="H39" s="7">
        <f t="shared" si="21"/>
        <v>56.35107746456428</v>
      </c>
      <c r="I39" s="7">
        <f t="shared" si="21"/>
        <v>48.331289068731756</v>
      </c>
      <c r="J39" s="7">
        <f t="shared" si="21"/>
        <v>38.15110765845601</v>
      </c>
      <c r="K39" s="7">
        <f t="shared" si="21"/>
        <v>71.37568655166965</v>
      </c>
    </row>
    <row r="40" spans="2:11" ht="12.75">
      <c r="B40" t="s">
        <v>42</v>
      </c>
      <c r="C40" s="26">
        <f aca="true" t="shared" si="22" ref="C40:K40">C37-C38/C39</f>
        <v>5.288224910618933</v>
      </c>
      <c r="D40" s="26">
        <f t="shared" si="22"/>
        <v>2.227829078957996</v>
      </c>
      <c r="E40" s="26">
        <f t="shared" si="22"/>
        <v>5.288224910618933</v>
      </c>
      <c r="F40" s="26">
        <f t="shared" si="22"/>
        <v>16.12135861488719</v>
      </c>
      <c r="G40" s="26">
        <f t="shared" si="22"/>
        <v>1.3488466033347184</v>
      </c>
      <c r="H40" s="26">
        <f t="shared" si="22"/>
        <v>8.457137746847627</v>
      </c>
      <c r="I40" s="26">
        <f t="shared" si="22"/>
        <v>3.2915577816735664</v>
      </c>
      <c r="J40" s="26">
        <f t="shared" si="22"/>
        <v>5.611135732649099</v>
      </c>
      <c r="K40" s="26">
        <f t="shared" si="22"/>
        <v>11.106968879107532</v>
      </c>
    </row>
    <row r="41" spans="2:11" ht="12.75">
      <c r="B41" t="s">
        <v>34</v>
      </c>
      <c r="C41" s="7">
        <f aca="true" t="shared" si="23" ref="C41:K41">C40*(C$16*(C40+C$27)^2+$F$50*($C$6+C$9))-$C$5*C$12</f>
        <v>2.0713807386293013</v>
      </c>
      <c r="D41" s="7">
        <f t="shared" si="23"/>
        <v>0.3126219157397827</v>
      </c>
      <c r="E41" s="7">
        <f t="shared" si="23"/>
        <v>2.0713807386293013</v>
      </c>
      <c r="F41" s="7">
        <f t="shared" si="23"/>
        <v>1.9861925542820345E-06</v>
      </c>
      <c r="G41" s="7">
        <f t="shared" si="23"/>
        <v>0.0001961531185656895</v>
      </c>
      <c r="H41" s="7">
        <f t="shared" si="23"/>
        <v>0.5937303981002344</v>
      </c>
      <c r="I41" s="7">
        <f t="shared" si="23"/>
        <v>0.3081108423779426</v>
      </c>
      <c r="J41" s="7">
        <f t="shared" si="23"/>
        <v>0.5390209237740748</v>
      </c>
      <c r="K41" s="7">
        <f t="shared" si="23"/>
        <v>0.06938536490572744</v>
      </c>
    </row>
    <row r="42" spans="2:11" ht="12.75">
      <c r="B42" t="s">
        <v>36</v>
      </c>
      <c r="C42" s="7">
        <f aca="true" t="shared" si="24" ref="C42:K42">C$16*(3*C40+C$27)*(C40+C$27)+$F$50*($C$6+C$9)</f>
        <v>41.23397353378923</v>
      </c>
      <c r="D42" s="7">
        <f t="shared" si="24"/>
        <v>66.57010281470119</v>
      </c>
      <c r="E42" s="7">
        <f t="shared" si="24"/>
        <v>41.23397353378923</v>
      </c>
      <c r="F42" s="7">
        <f t="shared" si="24"/>
        <v>129.14014276960768</v>
      </c>
      <c r="G42" s="7">
        <f t="shared" si="24"/>
        <v>106.23554651703533</v>
      </c>
      <c r="H42" s="7">
        <f t="shared" si="24"/>
        <v>52.45884338204401</v>
      </c>
      <c r="I42" s="7">
        <f t="shared" si="24"/>
        <v>46.89712551537644</v>
      </c>
      <c r="J42" s="7">
        <f t="shared" si="24"/>
        <v>35.69487504034278</v>
      </c>
      <c r="K42" s="7">
        <f t="shared" si="24"/>
        <v>69.85782934395843</v>
      </c>
    </row>
    <row r="43" spans="2:11" ht="12.75">
      <c r="B43" t="s">
        <v>43</v>
      </c>
      <c r="C43" s="26">
        <f aca="true" t="shared" si="25" ref="C43:K43">C40-C41/C42</f>
        <v>5.237990102738196</v>
      </c>
      <c r="D43" s="26">
        <f t="shared" si="25"/>
        <v>2.223132948074588</v>
      </c>
      <c r="E43" s="26">
        <f t="shared" si="25"/>
        <v>5.237990102738196</v>
      </c>
      <c r="F43" s="26">
        <f t="shared" si="25"/>
        <v>16.121358599507055</v>
      </c>
      <c r="G43" s="26">
        <f t="shared" si="25"/>
        <v>1.3488447569365494</v>
      </c>
      <c r="H43" s="26">
        <f t="shared" si="25"/>
        <v>8.445819723806665</v>
      </c>
      <c r="I43" s="26">
        <f t="shared" si="25"/>
        <v>3.284987851448804</v>
      </c>
      <c r="J43" s="26">
        <f t="shared" si="25"/>
        <v>5.596034939519416</v>
      </c>
      <c r="K43" s="26">
        <f t="shared" si="25"/>
        <v>11.105975642335686</v>
      </c>
    </row>
    <row r="44" spans="2:11" ht="12.75">
      <c r="B44" t="s">
        <v>34</v>
      </c>
      <c r="C44" s="7">
        <f aca="true" t="shared" si="26" ref="C44:K44">C43*(C$16*(C43+C$27)^2+$F$50*($C$6+C$9))-$C$5*C$12</f>
        <v>0.009914967513282136</v>
      </c>
      <c r="D44" s="7">
        <f t="shared" si="26"/>
        <v>3.659369244246591E-05</v>
      </c>
      <c r="E44" s="7">
        <f t="shared" si="26"/>
        <v>0.009914967513282136</v>
      </c>
      <c r="F44" s="7">
        <f t="shared" si="26"/>
        <v>-2.290982848692672E-13</v>
      </c>
      <c r="G44" s="7">
        <f t="shared" si="26"/>
        <v>2.2168933355715126E-12</v>
      </c>
      <c r="H44" s="7">
        <f t="shared" si="26"/>
        <v>0.0008070863750049284</v>
      </c>
      <c r="I44" s="7">
        <f t="shared" si="26"/>
        <v>6.901549673443697E-05</v>
      </c>
      <c r="J44" s="7">
        <f t="shared" si="26"/>
        <v>0.0006214027745556905</v>
      </c>
      <c r="K44" s="7">
        <f t="shared" si="26"/>
        <v>8.166527535991008E-06</v>
      </c>
    </row>
    <row r="45" spans="2:11" ht="12.75">
      <c r="B45" t="s">
        <v>36</v>
      </c>
      <c r="C45" s="7">
        <f aca="true" t="shared" si="27" ref="C45:K45">C$16*(3*C43+C$27)*(C43+C$27)+$F$50*($C$6+C$9)</f>
        <v>40.83985557420431</v>
      </c>
      <c r="D45" s="7">
        <f t="shared" si="27"/>
        <v>66.55452368027375</v>
      </c>
      <c r="E45" s="7">
        <f t="shared" si="27"/>
        <v>40.83985557420431</v>
      </c>
      <c r="F45" s="7">
        <f t="shared" si="27"/>
        <v>129.14014239999995</v>
      </c>
      <c r="G45" s="7">
        <f t="shared" si="27"/>
        <v>106.23554409583744</v>
      </c>
      <c r="H45" s="7">
        <f t="shared" si="27"/>
        <v>52.31625553367027</v>
      </c>
      <c r="I45" s="7">
        <f t="shared" si="27"/>
        <v>46.87612300241803</v>
      </c>
      <c r="J45" s="7">
        <f t="shared" si="27"/>
        <v>35.612611307942814</v>
      </c>
      <c r="K45" s="7">
        <f t="shared" si="27"/>
        <v>69.84138531757836</v>
      </c>
    </row>
    <row r="46" spans="2:11" ht="12.75">
      <c r="B46" t="s">
        <v>44</v>
      </c>
      <c r="C46" s="26">
        <f aca="true" t="shared" si="28" ref="C46:K46">C43-C44/C45</f>
        <v>5.237747325985588</v>
      </c>
      <c r="D46" s="26">
        <f t="shared" si="28"/>
        <v>2.223132398244307</v>
      </c>
      <c r="E46" s="26">
        <f t="shared" si="28"/>
        <v>5.237747325985588</v>
      </c>
      <c r="F46" s="26">
        <f t="shared" si="28"/>
        <v>16.121358599507055</v>
      </c>
      <c r="G46" s="26">
        <f t="shared" si="28"/>
        <v>1.3488447569365285</v>
      </c>
      <c r="H46" s="26">
        <f t="shared" si="28"/>
        <v>8.445804296739746</v>
      </c>
      <c r="I46" s="26">
        <f t="shared" si="28"/>
        <v>3.2849863791534792</v>
      </c>
      <c r="J46" s="26">
        <f t="shared" si="28"/>
        <v>5.596017490566595</v>
      </c>
      <c r="K46" s="26">
        <f t="shared" si="28"/>
        <v>11.105975525406054</v>
      </c>
    </row>
    <row r="49" spans="2:3" ht="12.75">
      <c r="B49" s="8" t="s">
        <v>45</v>
      </c>
      <c r="C49" s="9" t="s">
        <v>46</v>
      </c>
    </row>
    <row r="50" spans="2:9" ht="12.75">
      <c r="B50" s="1">
        <v>-30</v>
      </c>
      <c r="C50" s="2">
        <v>1.5147</v>
      </c>
      <c r="D50" s="1" t="s">
        <v>47</v>
      </c>
      <c r="E50" s="10">
        <f>C2*4.4482</f>
        <v>733.953</v>
      </c>
      <c r="F50" s="2">
        <f>E50+E51</f>
        <v>849.6062</v>
      </c>
      <c r="G50" s="1">
        <f>C2/2.2</f>
        <v>75</v>
      </c>
      <c r="H50" s="10">
        <f>G50*C67</f>
        <v>105</v>
      </c>
      <c r="I50" s="2"/>
    </row>
    <row r="51" spans="2:9" ht="12.75">
      <c r="B51" s="3">
        <v>-25</v>
      </c>
      <c r="C51" s="4">
        <v>1.4829</v>
      </c>
      <c r="D51" s="5"/>
      <c r="E51" s="11">
        <f>C3*4.4482</f>
        <v>115.6532</v>
      </c>
      <c r="F51" s="6"/>
      <c r="G51" s="5">
        <f>C6*F50</f>
        <v>20.390548799999998</v>
      </c>
      <c r="H51" s="11"/>
      <c r="I51" s="6"/>
    </row>
    <row r="52" spans="2:9" ht="12.75">
      <c r="B52" s="3">
        <v>-20</v>
      </c>
      <c r="C52" s="4">
        <v>1.3961</v>
      </c>
      <c r="D52" s="12" t="s">
        <v>48</v>
      </c>
      <c r="E52" s="13">
        <f>(C4-32)/1.8</f>
        <v>21.11111111111111</v>
      </c>
      <c r="F52" s="13">
        <f>VLOOKUP(E52,$B$50:$C$64,2)</f>
        <v>1.2047</v>
      </c>
      <c r="G52" s="13">
        <f>VLOOKUP(E52+5,$B$50:$C$64,2)</f>
        <v>1.1845</v>
      </c>
      <c r="H52" s="14">
        <f>MOD(E52,5)*0.2*(G52-F52)+F52</f>
        <v>1.2002111111111111</v>
      </c>
      <c r="I52" s="14"/>
    </row>
    <row r="53" spans="2:3" ht="12.75">
      <c r="B53" s="3">
        <v>-15</v>
      </c>
      <c r="C53" s="4">
        <v>1.368</v>
      </c>
    </row>
    <row r="54" spans="2:3" ht="12.75">
      <c r="B54" s="3">
        <v>-10</v>
      </c>
      <c r="C54" s="4">
        <v>1.342</v>
      </c>
    </row>
    <row r="55" spans="2:6" ht="12.75">
      <c r="B55" s="3">
        <v>-5</v>
      </c>
      <c r="C55" s="4">
        <v>1.317</v>
      </c>
      <c r="F55" t="s">
        <v>49</v>
      </c>
    </row>
    <row r="56" spans="2:7" ht="12.75">
      <c r="B56" s="3">
        <v>0</v>
      </c>
      <c r="C56" s="4">
        <v>1.2929</v>
      </c>
      <c r="F56">
        <v>0.356</v>
      </c>
      <c r="G56" t="s">
        <v>50</v>
      </c>
    </row>
    <row r="57" spans="2:7" ht="12.75">
      <c r="B57" s="3">
        <v>5</v>
      </c>
      <c r="C57" s="4">
        <v>1.2697</v>
      </c>
      <c r="F57">
        <v>0.267</v>
      </c>
      <c r="G57" t="s">
        <v>5</v>
      </c>
    </row>
    <row r="58" spans="2:7" ht="12.75">
      <c r="B58" s="3">
        <v>10</v>
      </c>
      <c r="C58" s="4">
        <v>1.2472</v>
      </c>
      <c r="F58">
        <v>0.233</v>
      </c>
      <c r="G58" t="s">
        <v>51</v>
      </c>
    </row>
    <row r="59" spans="2:7" ht="12.75">
      <c r="B59" s="3">
        <v>15</v>
      </c>
      <c r="C59" s="4">
        <v>1.2256</v>
      </c>
      <c r="F59">
        <v>0.167</v>
      </c>
      <c r="G59" t="s">
        <v>52</v>
      </c>
    </row>
    <row r="60" spans="2:7" ht="12.75">
      <c r="B60" s="3">
        <v>20</v>
      </c>
      <c r="C60" s="4">
        <v>1.2047</v>
      </c>
      <c r="F60">
        <v>0.145</v>
      </c>
      <c r="G60" t="s">
        <v>10</v>
      </c>
    </row>
    <row r="61" spans="2:7" ht="12.75">
      <c r="B61" s="3">
        <v>25</v>
      </c>
      <c r="C61" s="4">
        <v>1.1845</v>
      </c>
      <c r="F61">
        <v>0.12</v>
      </c>
      <c r="G61" t="s">
        <v>53</v>
      </c>
    </row>
    <row r="62" spans="2:7" ht="12.75">
      <c r="B62" s="3">
        <v>30</v>
      </c>
      <c r="C62" s="4">
        <v>1.1649</v>
      </c>
      <c r="F62">
        <v>0.1</v>
      </c>
      <c r="G62" t="s">
        <v>54</v>
      </c>
    </row>
    <row r="63" spans="2:6" ht="12.75">
      <c r="B63" s="3">
        <v>35</v>
      </c>
      <c r="C63" s="4">
        <v>1.146</v>
      </c>
      <c r="F63" t="s">
        <v>11</v>
      </c>
    </row>
    <row r="64" spans="2:8" ht="12.75">
      <c r="B64" s="5">
        <v>40</v>
      </c>
      <c r="C64" s="6">
        <v>1.1277</v>
      </c>
      <c r="F64" t="s">
        <v>55</v>
      </c>
      <c r="H64" t="s">
        <v>56</v>
      </c>
    </row>
    <row r="65" spans="6:8" ht="12.75">
      <c r="F65">
        <v>0.0047</v>
      </c>
      <c r="H65" t="s">
        <v>57</v>
      </c>
    </row>
    <row r="66" spans="2:8" ht="12.75">
      <c r="B66" t="s">
        <v>58</v>
      </c>
      <c r="C66">
        <v>0.249</v>
      </c>
      <c r="D66">
        <f>1/C66</f>
        <v>4.016064257028113</v>
      </c>
      <c r="F66">
        <v>0.0051</v>
      </c>
      <c r="H66" t="s">
        <v>59</v>
      </c>
    </row>
    <row r="67" spans="2:8" ht="12.75">
      <c r="B67" t="s">
        <v>60</v>
      </c>
      <c r="C67">
        <v>1.4</v>
      </c>
      <c r="D67" t="s">
        <v>61</v>
      </c>
      <c r="F67">
        <v>0.0066</v>
      </c>
      <c r="H67" t="s">
        <v>62</v>
      </c>
    </row>
    <row r="68" spans="6:8" ht="12.75">
      <c r="F68">
        <v>0.012</v>
      </c>
      <c r="H68" t="s">
        <v>63</v>
      </c>
    </row>
    <row r="69" spans="2:9" ht="12.75">
      <c r="B69" s="7"/>
      <c r="C69" s="7"/>
      <c r="D69" s="7"/>
      <c r="E69" s="7"/>
      <c r="F69" s="7"/>
      <c r="G69" s="7"/>
      <c r="H69" s="7"/>
      <c r="I69" s="7"/>
    </row>
  </sheetData>
  <printOptions gridLines="1"/>
  <pageMargins left="0.75" right="0.75" top="1" bottom="1" header="0.5" footer="0.5"/>
  <pageSetup fitToHeight="2" fitToWidth="1" orientation="portrait" scale="92"/>
  <headerFooter alignWithMargins="0">
    <oddHeader>&amp;C&amp;F</oddHeader>
    <oddFooter>&amp;CPage &amp;P</oddFooter>
  </headerFooter>
  <rowBreaks count="1" manualBreakCount="1">
    <brk id="24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69"/>
  <sheetViews>
    <sheetView tabSelected="1" workbookViewId="0" topLeftCell="A1">
      <selection activeCell="M49" sqref="M49:M50"/>
    </sheetView>
  </sheetViews>
  <sheetFormatPr defaultColWidth="11.00390625" defaultRowHeight="12.75"/>
  <cols>
    <col min="1" max="1" width="8.25390625" style="0" customWidth="1"/>
    <col min="3" max="3" width="6.625" style="0" customWidth="1"/>
    <col min="4" max="4" width="8.00390625" style="0" customWidth="1"/>
    <col min="5" max="11" width="6.625" style="0" customWidth="1"/>
  </cols>
  <sheetData>
    <row r="1" spans="1:22" ht="12.75">
      <c r="A1" s="16" t="s">
        <v>0</v>
      </c>
      <c r="B1" s="2"/>
      <c r="C1" s="2"/>
      <c r="D1" s="10"/>
      <c r="G1" s="10"/>
      <c r="H1" s="10"/>
      <c r="I1" s="10"/>
      <c r="J1" s="2"/>
      <c r="M1" s="16" t="s">
        <v>0</v>
      </c>
      <c r="N1" s="2"/>
      <c r="O1" s="2"/>
      <c r="P1" s="10"/>
      <c r="S1" s="10"/>
      <c r="T1" s="10"/>
      <c r="U1" s="10"/>
      <c r="V1" s="2"/>
    </row>
    <row r="2" spans="1:22" ht="12.75">
      <c r="A2" s="3"/>
      <c r="B2" s="4" t="s">
        <v>1</v>
      </c>
      <c r="C2" s="39">
        <v>180</v>
      </c>
      <c r="D2" s="17" t="s">
        <v>2</v>
      </c>
      <c r="E2" s="1" t="s">
        <v>3</v>
      </c>
      <c r="F2" s="10"/>
      <c r="G2" s="10"/>
      <c r="H2" s="10"/>
      <c r="I2" s="10"/>
      <c r="J2" s="2"/>
      <c r="M2" s="3"/>
      <c r="N2" s="4" t="s">
        <v>1</v>
      </c>
      <c r="O2" s="39">
        <v>180</v>
      </c>
      <c r="P2" s="17" t="s">
        <v>2</v>
      </c>
      <c r="Q2" s="1" t="s">
        <v>3</v>
      </c>
      <c r="R2" s="10"/>
      <c r="S2" s="10"/>
      <c r="T2" s="10"/>
      <c r="U2" s="10"/>
      <c r="V2" s="2"/>
    </row>
    <row r="3" spans="1:22" ht="12.75">
      <c r="A3" s="3"/>
      <c r="B3" s="4" t="s">
        <v>4</v>
      </c>
      <c r="C3" s="39">
        <v>27.2</v>
      </c>
      <c r="D3" s="17" t="s">
        <v>2</v>
      </c>
      <c r="E3" s="3">
        <v>0.267</v>
      </c>
      <c r="F3" s="17" t="s">
        <v>5</v>
      </c>
      <c r="G3" s="17"/>
      <c r="H3" s="17"/>
      <c r="I3" s="17"/>
      <c r="J3" s="4"/>
      <c r="M3" s="3"/>
      <c r="N3" s="4" t="s">
        <v>4</v>
      </c>
      <c r="O3" s="39">
        <v>26</v>
      </c>
      <c r="P3" s="17" t="s">
        <v>2</v>
      </c>
      <c r="Q3" s="3">
        <v>0.267</v>
      </c>
      <c r="R3" s="17" t="s">
        <v>5</v>
      </c>
      <c r="S3" s="17"/>
      <c r="T3" s="17"/>
      <c r="U3" s="17"/>
      <c r="V3" s="4"/>
    </row>
    <row r="4" spans="1:22" ht="12.75">
      <c r="A4" s="3"/>
      <c r="B4" s="4" t="s">
        <v>6</v>
      </c>
      <c r="C4" s="39">
        <v>70</v>
      </c>
      <c r="D4" s="17" t="s">
        <v>7</v>
      </c>
      <c r="E4" s="3">
        <v>0.167</v>
      </c>
      <c r="F4" s="17" t="s">
        <v>8</v>
      </c>
      <c r="G4" s="17"/>
      <c r="H4" s="17"/>
      <c r="I4" s="17"/>
      <c r="J4" s="4"/>
      <c r="M4" s="3"/>
      <c r="N4" s="4" t="s">
        <v>6</v>
      </c>
      <c r="O4" s="39">
        <v>70</v>
      </c>
      <c r="P4" s="17" t="s">
        <v>7</v>
      </c>
      <c r="Q4" s="3">
        <v>0.167</v>
      </c>
      <c r="R4" s="17" t="s">
        <v>8</v>
      </c>
      <c r="S4" s="17"/>
      <c r="T4" s="17"/>
      <c r="U4" s="17"/>
      <c r="V4" s="4"/>
    </row>
    <row r="5" spans="1:22" ht="12.75">
      <c r="A5" s="3"/>
      <c r="B5" s="4" t="s">
        <v>9</v>
      </c>
      <c r="C5" s="39">
        <v>0.95</v>
      </c>
      <c r="D5" s="17"/>
      <c r="E5" s="3">
        <v>0.145</v>
      </c>
      <c r="F5" s="17" t="s">
        <v>10</v>
      </c>
      <c r="G5" s="17"/>
      <c r="H5" s="17"/>
      <c r="I5" s="17"/>
      <c r="J5" s="4"/>
      <c r="M5" s="3"/>
      <c r="N5" s="4" t="s">
        <v>9</v>
      </c>
      <c r="O5" s="39">
        <v>0.95</v>
      </c>
      <c r="P5" s="17"/>
      <c r="Q5" s="3">
        <v>0.145</v>
      </c>
      <c r="R5" s="17" t="s">
        <v>10</v>
      </c>
      <c r="S5" s="17"/>
      <c r="T5" s="17"/>
      <c r="U5" s="17"/>
      <c r="V5" s="4"/>
    </row>
    <row r="6" spans="1:22" ht="12.75">
      <c r="A6" s="5"/>
      <c r="B6" s="6" t="s">
        <v>11</v>
      </c>
      <c r="C6" s="40">
        <v>0.0132</v>
      </c>
      <c r="D6" s="11"/>
      <c r="E6" s="12" t="s">
        <v>64</v>
      </c>
      <c r="F6" s="13"/>
      <c r="G6" s="13"/>
      <c r="H6" s="13"/>
      <c r="I6" s="13"/>
      <c r="J6" s="14"/>
      <c r="M6" s="5"/>
      <c r="N6" s="6" t="s">
        <v>11</v>
      </c>
      <c r="O6" s="40">
        <v>0.012</v>
      </c>
      <c r="P6" s="11"/>
      <c r="Q6" s="12" t="s">
        <v>64</v>
      </c>
      <c r="R6" s="13"/>
      <c r="S6" s="13"/>
      <c r="T6" s="13"/>
      <c r="U6" s="13"/>
      <c r="V6" s="14"/>
    </row>
    <row r="7" spans="1:25" ht="12.75">
      <c r="A7" s="38" t="s">
        <v>12</v>
      </c>
      <c r="B7" s="4"/>
      <c r="C7">
        <v>1</v>
      </c>
      <c r="D7" s="17">
        <v>2</v>
      </c>
      <c r="E7">
        <v>3</v>
      </c>
      <c r="F7" s="17">
        <v>4</v>
      </c>
      <c r="G7">
        <v>5</v>
      </c>
      <c r="H7" s="17">
        <v>6</v>
      </c>
      <c r="I7">
        <v>7</v>
      </c>
      <c r="J7" s="17">
        <v>8</v>
      </c>
      <c r="K7">
        <v>9</v>
      </c>
      <c r="M7" s="38" t="s">
        <v>12</v>
      </c>
      <c r="N7" s="4"/>
      <c r="O7">
        <v>1</v>
      </c>
      <c r="P7" s="17">
        <v>2</v>
      </c>
      <c r="Q7">
        <v>3</v>
      </c>
      <c r="R7" s="17">
        <v>4</v>
      </c>
      <c r="S7">
        <v>5</v>
      </c>
      <c r="T7" s="17">
        <v>6</v>
      </c>
      <c r="U7">
        <v>7</v>
      </c>
      <c r="V7" s="17">
        <v>8</v>
      </c>
      <c r="Y7">
        <v>9</v>
      </c>
    </row>
    <row r="8" spans="1:25" ht="12.75">
      <c r="A8" s="16" t="s">
        <v>13</v>
      </c>
      <c r="B8" s="2"/>
      <c r="C8" s="1"/>
      <c r="D8" s="10"/>
      <c r="E8" s="10"/>
      <c r="F8" s="10"/>
      <c r="G8" s="10"/>
      <c r="H8" s="10"/>
      <c r="I8" s="10"/>
      <c r="J8" s="10"/>
      <c r="K8" s="2"/>
      <c r="M8" s="16" t="s">
        <v>13</v>
      </c>
      <c r="N8" s="2"/>
      <c r="O8" s="1"/>
      <c r="P8" s="10"/>
      <c r="Q8" s="10"/>
      <c r="R8" s="10"/>
      <c r="S8" s="10"/>
      <c r="T8" s="10"/>
      <c r="U8" s="10"/>
      <c r="V8" s="10"/>
      <c r="Y8" s="2"/>
    </row>
    <row r="9" spans="1:25" ht="12.75">
      <c r="A9" s="3"/>
      <c r="B9" s="4" t="s">
        <v>14</v>
      </c>
      <c r="C9" s="41">
        <v>0.05</v>
      </c>
      <c r="D9" s="42">
        <v>-0.025</v>
      </c>
      <c r="E9" s="42">
        <v>0</v>
      </c>
      <c r="F9" s="42">
        <v>0.1</v>
      </c>
      <c r="G9" s="42">
        <v>-0.1</v>
      </c>
      <c r="H9" s="42">
        <v>0</v>
      </c>
      <c r="I9" s="42">
        <v>0.05</v>
      </c>
      <c r="J9" s="42">
        <v>0</v>
      </c>
      <c r="K9" s="43">
        <v>-0.05</v>
      </c>
      <c r="M9" s="3"/>
      <c r="N9" s="4" t="s">
        <v>14</v>
      </c>
      <c r="O9" s="41">
        <v>0.05</v>
      </c>
      <c r="P9" s="42">
        <v>-0.025</v>
      </c>
      <c r="Q9" s="42">
        <v>0</v>
      </c>
      <c r="R9" s="42">
        <v>0.1</v>
      </c>
      <c r="S9" s="42">
        <v>-0.1</v>
      </c>
      <c r="T9" s="42">
        <v>0</v>
      </c>
      <c r="U9" s="42">
        <v>0.05</v>
      </c>
      <c r="V9" s="42">
        <v>0</v>
      </c>
      <c r="Y9" s="43">
        <v>-0.05</v>
      </c>
    </row>
    <row r="10" spans="1:25" ht="12.75">
      <c r="A10" s="3"/>
      <c r="B10" s="4" t="s">
        <v>15</v>
      </c>
      <c r="C10" s="41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3">
        <v>0</v>
      </c>
      <c r="M10" s="3"/>
      <c r="N10" s="4" t="s">
        <v>15</v>
      </c>
      <c r="O10" s="41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Y10" s="43">
        <v>0</v>
      </c>
    </row>
    <row r="11" spans="1:25" ht="12.75">
      <c r="A11" s="29">
        <f>SUM(C11:K11)</f>
        <v>32</v>
      </c>
      <c r="B11" s="4" t="s">
        <v>16</v>
      </c>
      <c r="C11" s="41">
        <v>4</v>
      </c>
      <c r="D11" s="42">
        <v>8</v>
      </c>
      <c r="E11" s="42">
        <v>2</v>
      </c>
      <c r="F11" s="42">
        <v>2</v>
      </c>
      <c r="G11" s="42">
        <v>2</v>
      </c>
      <c r="H11" s="42">
        <v>1</v>
      </c>
      <c r="I11" s="42">
        <v>5</v>
      </c>
      <c r="J11" s="42">
        <v>3</v>
      </c>
      <c r="K11" s="43">
        <v>5</v>
      </c>
      <c r="M11" s="29">
        <f>SUM(O11:Y11)</f>
        <v>32</v>
      </c>
      <c r="N11" s="4" t="s">
        <v>16</v>
      </c>
      <c r="O11" s="41">
        <v>4</v>
      </c>
      <c r="P11" s="42">
        <v>8</v>
      </c>
      <c r="Q11" s="42">
        <v>2</v>
      </c>
      <c r="R11" s="42">
        <v>2</v>
      </c>
      <c r="S11" s="42">
        <v>2</v>
      </c>
      <c r="T11" s="42">
        <v>1</v>
      </c>
      <c r="U11" s="42">
        <v>5</v>
      </c>
      <c r="V11" s="42">
        <v>3</v>
      </c>
      <c r="Y11" s="43">
        <v>5</v>
      </c>
    </row>
    <row r="12" spans="1:25" ht="12.75">
      <c r="A12" s="29">
        <f>SUM(C24:K24)/A22/24</f>
        <v>124.34673188222224</v>
      </c>
      <c r="B12" s="4" t="s">
        <v>17</v>
      </c>
      <c r="C12" s="41">
        <v>300</v>
      </c>
      <c r="D12" s="42">
        <v>-32</v>
      </c>
      <c r="E12" s="42">
        <v>80.55</v>
      </c>
      <c r="F12" s="42">
        <v>300</v>
      </c>
      <c r="G12" s="42">
        <v>-529</v>
      </c>
      <c r="H12" s="42">
        <v>71</v>
      </c>
      <c r="I12" s="42">
        <v>300</v>
      </c>
      <c r="J12" s="42">
        <v>100</v>
      </c>
      <c r="K12" s="43">
        <v>-149</v>
      </c>
      <c r="M12" s="29">
        <f>SUM(O24:Y24)/M22/24</f>
        <v>130.15829290753578</v>
      </c>
      <c r="N12" s="4" t="s">
        <v>17</v>
      </c>
      <c r="O12" s="41">
        <v>300</v>
      </c>
      <c r="P12" s="42">
        <v>0</v>
      </c>
      <c r="Q12" s="42">
        <v>60</v>
      </c>
      <c r="R12" s="42">
        <v>300</v>
      </c>
      <c r="S12" s="42">
        <v>-650</v>
      </c>
      <c r="T12" s="42">
        <v>71</v>
      </c>
      <c r="U12" s="42">
        <v>300</v>
      </c>
      <c r="V12" s="42">
        <v>100</v>
      </c>
      <c r="Y12" s="43">
        <v>-151</v>
      </c>
    </row>
    <row r="13" spans="1:25" ht="12.75">
      <c r="A13" s="3"/>
      <c r="B13" s="4" t="s">
        <v>18</v>
      </c>
      <c r="C13" s="41">
        <v>0.9</v>
      </c>
      <c r="D13" s="42">
        <v>0.9</v>
      </c>
      <c r="E13" s="42">
        <v>0.9</v>
      </c>
      <c r="F13" s="42">
        <v>0.9</v>
      </c>
      <c r="G13" s="42">
        <v>0.9</v>
      </c>
      <c r="H13" s="42">
        <v>0.9</v>
      </c>
      <c r="I13" s="42">
        <v>0.9</v>
      </c>
      <c r="J13" s="42">
        <v>0.9</v>
      </c>
      <c r="K13" s="43">
        <v>0.9</v>
      </c>
      <c r="M13" s="3"/>
      <c r="N13" s="4" t="s">
        <v>18</v>
      </c>
      <c r="O13" s="41">
        <v>0.9</v>
      </c>
      <c r="P13" s="42">
        <v>0.9</v>
      </c>
      <c r="Q13" s="42">
        <v>0.9</v>
      </c>
      <c r="R13" s="42">
        <v>0.9</v>
      </c>
      <c r="S13" s="42">
        <v>0.9</v>
      </c>
      <c r="T13" s="42">
        <v>0.9</v>
      </c>
      <c r="U13" s="42">
        <v>0.9</v>
      </c>
      <c r="V13" s="42">
        <v>0.9</v>
      </c>
      <c r="Y13" s="43">
        <v>0.9</v>
      </c>
    </row>
    <row r="14" spans="1:25" ht="12.75">
      <c r="A14" s="5"/>
      <c r="B14" s="6" t="s">
        <v>19</v>
      </c>
      <c r="C14" s="44">
        <v>0.46</v>
      </c>
      <c r="D14" s="45">
        <v>0.27</v>
      </c>
      <c r="E14" s="45">
        <v>0.46</v>
      </c>
      <c r="F14" s="45">
        <v>0.27</v>
      </c>
      <c r="G14" s="45">
        <v>0.3</v>
      </c>
      <c r="H14" s="45">
        <v>0.27</v>
      </c>
      <c r="I14" s="45">
        <v>0.3</v>
      </c>
      <c r="J14" s="45">
        <v>0.27</v>
      </c>
      <c r="K14" s="46">
        <v>0.46</v>
      </c>
      <c r="M14" s="5"/>
      <c r="N14" s="6" t="s">
        <v>19</v>
      </c>
      <c r="O14" s="44">
        <v>0.46</v>
      </c>
      <c r="P14" s="45">
        <v>0.27</v>
      </c>
      <c r="Q14" s="45">
        <v>0.46</v>
      </c>
      <c r="R14" s="45">
        <v>0.27</v>
      </c>
      <c r="S14" s="45">
        <v>0.3</v>
      </c>
      <c r="T14" s="45">
        <v>0.27</v>
      </c>
      <c r="U14" s="45">
        <v>0.3</v>
      </c>
      <c r="V14" s="45">
        <v>0.27</v>
      </c>
      <c r="Y14" s="46">
        <v>0.46</v>
      </c>
    </row>
    <row r="15" spans="1:25" ht="12.75">
      <c r="A15" s="16" t="s">
        <v>20</v>
      </c>
      <c r="B15" s="2"/>
      <c r="C15" s="1"/>
      <c r="D15" s="10"/>
      <c r="E15" s="10"/>
      <c r="F15" s="10"/>
      <c r="G15" s="10"/>
      <c r="H15" s="10"/>
      <c r="I15" s="10"/>
      <c r="J15" s="10"/>
      <c r="K15" s="2"/>
      <c r="M15" s="16" t="s">
        <v>20</v>
      </c>
      <c r="N15" s="2"/>
      <c r="O15" s="1"/>
      <c r="P15" s="10"/>
      <c r="Q15" s="10"/>
      <c r="R15" s="10"/>
      <c r="S15" s="10"/>
      <c r="T15" s="10"/>
      <c r="U15" s="10"/>
      <c r="V15" s="10"/>
      <c r="Y15" s="2"/>
    </row>
    <row r="16" spans="1:25" ht="12.75">
      <c r="A16" s="3"/>
      <c r="B16" s="4" t="s">
        <v>21</v>
      </c>
      <c r="C16" s="34">
        <f aca="true" t="shared" si="0" ref="C16:K16">C13*$H$52*0.5*C14</f>
        <v>0.24844370000000002</v>
      </c>
      <c r="D16" s="18">
        <f>D13*$H$52*0.5*D14</f>
        <v>0.14582565</v>
      </c>
      <c r="E16" s="18">
        <f t="shared" si="0"/>
        <v>0.24844370000000002</v>
      </c>
      <c r="F16" s="18">
        <f t="shared" si="0"/>
        <v>0.14582565</v>
      </c>
      <c r="G16" s="18">
        <f t="shared" si="0"/>
        <v>0.1620285</v>
      </c>
      <c r="H16" s="18">
        <f t="shared" si="0"/>
        <v>0.14582565</v>
      </c>
      <c r="I16" s="18">
        <f t="shared" si="0"/>
        <v>0.1620285</v>
      </c>
      <c r="J16" s="18">
        <f t="shared" si="0"/>
        <v>0.14582565</v>
      </c>
      <c r="K16" s="19">
        <f t="shared" si="0"/>
        <v>0.24844370000000002</v>
      </c>
      <c r="M16" s="3"/>
      <c r="N16" s="4" t="s">
        <v>21</v>
      </c>
      <c r="O16" s="34">
        <f aca="true" t="shared" si="1" ref="O16:V16">O13*$H$52*0.5*O14</f>
        <v>0.24844370000000002</v>
      </c>
      <c r="P16" s="18">
        <f t="shared" si="1"/>
        <v>0.14582565</v>
      </c>
      <c r="Q16" s="18">
        <f t="shared" si="1"/>
        <v>0.24844370000000002</v>
      </c>
      <c r="R16" s="18">
        <f t="shared" si="1"/>
        <v>0.14582565</v>
      </c>
      <c r="S16" s="18">
        <f t="shared" si="1"/>
        <v>0.1620285</v>
      </c>
      <c r="T16" s="18">
        <f t="shared" si="1"/>
        <v>0.14582565</v>
      </c>
      <c r="U16" s="18">
        <f t="shared" si="1"/>
        <v>0.1620285</v>
      </c>
      <c r="V16" s="18">
        <f t="shared" si="1"/>
        <v>0.14582565</v>
      </c>
      <c r="Y16" s="19">
        <f>Y13*$H$52*0.5*Y14</f>
        <v>0.24844370000000002</v>
      </c>
    </row>
    <row r="17" spans="1:25" ht="12.75">
      <c r="A17" s="29">
        <f>SUM(C17:K17)</f>
        <v>0</v>
      </c>
      <c r="B17" s="4" t="s">
        <v>22</v>
      </c>
      <c r="C17" s="29">
        <f aca="true" t="shared" si="2" ref="C17:K17">C11*C9*5280</f>
        <v>1056</v>
      </c>
      <c r="D17" s="21">
        <f t="shared" si="2"/>
        <v>-1056</v>
      </c>
      <c r="E17" s="21">
        <f t="shared" si="2"/>
        <v>0</v>
      </c>
      <c r="F17" s="21">
        <f t="shared" si="2"/>
        <v>1056</v>
      </c>
      <c r="G17" s="21">
        <f t="shared" si="2"/>
        <v>-1056</v>
      </c>
      <c r="H17" s="21">
        <f t="shared" si="2"/>
        <v>0</v>
      </c>
      <c r="I17" s="21">
        <f t="shared" si="2"/>
        <v>1320</v>
      </c>
      <c r="J17" s="21">
        <f t="shared" si="2"/>
        <v>0</v>
      </c>
      <c r="K17" s="22">
        <f t="shared" si="2"/>
        <v>-1320</v>
      </c>
      <c r="M17" s="29">
        <f>SUM(O17:Y17)</f>
        <v>0</v>
      </c>
      <c r="N17" s="4" t="s">
        <v>22</v>
      </c>
      <c r="O17" s="29">
        <f aca="true" t="shared" si="3" ref="O17:V17">O11*O9*5280</f>
        <v>1056</v>
      </c>
      <c r="P17" s="21">
        <f t="shared" si="3"/>
        <v>-1056</v>
      </c>
      <c r="Q17" s="21">
        <f t="shared" si="3"/>
        <v>0</v>
      </c>
      <c r="R17" s="21">
        <f t="shared" si="3"/>
        <v>1056</v>
      </c>
      <c r="S17" s="21">
        <f t="shared" si="3"/>
        <v>-1056</v>
      </c>
      <c r="T17" s="21">
        <f t="shared" si="3"/>
        <v>0</v>
      </c>
      <c r="U17" s="21">
        <f t="shared" si="3"/>
        <v>1320</v>
      </c>
      <c r="V17" s="21">
        <f t="shared" si="3"/>
        <v>0</v>
      </c>
      <c r="Y17" s="22">
        <f>Y11*Y9*5280</f>
        <v>-1320</v>
      </c>
    </row>
    <row r="18" spans="1:25" ht="12.75">
      <c r="A18" s="29"/>
      <c r="B18" s="4" t="s">
        <v>23</v>
      </c>
      <c r="C18" s="37">
        <f aca="true" t="shared" si="4" ref="C18:K18">(C43+C27)^2*C16</f>
        <v>5.038257720646417</v>
      </c>
      <c r="D18" s="47">
        <f t="shared" si="4"/>
        <v>6.338326776150198</v>
      </c>
      <c r="E18" s="47">
        <f t="shared" si="4"/>
        <v>4.969225097471965</v>
      </c>
      <c r="F18" s="47">
        <f t="shared" si="4"/>
        <v>1.0662306389050253</v>
      </c>
      <c r="G18" s="47">
        <f t="shared" si="4"/>
        <v>51.92888451487442</v>
      </c>
      <c r="H18" s="47">
        <f t="shared" si="4"/>
        <v>2.917330927087579</v>
      </c>
      <c r="I18" s="47">
        <f t="shared" si="4"/>
        <v>3.456441297089671</v>
      </c>
      <c r="J18" s="47">
        <f t="shared" si="4"/>
        <v>4.652831218718501</v>
      </c>
      <c r="K18" s="48">
        <f t="shared" si="4"/>
        <v>16.71044081887316</v>
      </c>
      <c r="M18" s="29"/>
      <c r="N18" s="4" t="s">
        <v>23</v>
      </c>
      <c r="O18" s="37">
        <f aca="true" t="shared" si="5" ref="O18:V18">(O43+O27)^2*O16</f>
        <v>5.038257720646417</v>
      </c>
      <c r="P18" s="47">
        <f t="shared" si="5"/>
        <v>10.87638962387518</v>
      </c>
      <c r="Q18" s="47">
        <f t="shared" si="5"/>
        <v>3.3730383970865456</v>
      </c>
      <c r="R18" s="47">
        <f t="shared" si="5"/>
        <v>1.0662306389050253</v>
      </c>
      <c r="S18" s="47">
        <f t="shared" si="5"/>
        <v>41.343723324854956</v>
      </c>
      <c r="T18" s="47">
        <f t="shared" si="5"/>
        <v>2.917330927087579</v>
      </c>
      <c r="U18" s="47">
        <f t="shared" si="5"/>
        <v>3.456441297089671</v>
      </c>
      <c r="V18" s="47">
        <f t="shared" si="5"/>
        <v>4.652831218718501</v>
      </c>
      <c r="Y18" s="48">
        <f>(Y43+Y27)^2*Y16</f>
        <v>16.246194283862604</v>
      </c>
    </row>
    <row r="19" spans="1:25" ht="12.75">
      <c r="A19" s="29"/>
      <c r="B19" s="4" t="s">
        <v>24</v>
      </c>
      <c r="C19" s="37">
        <f aca="true" t="shared" si="6" ref="C19:K19">C9*$F$50</f>
        <v>46.083352</v>
      </c>
      <c r="D19" s="47">
        <f t="shared" si="6"/>
        <v>-23.041676</v>
      </c>
      <c r="E19" s="47">
        <f t="shared" si="6"/>
        <v>0</v>
      </c>
      <c r="F19" s="47">
        <f t="shared" si="6"/>
        <v>92.166704</v>
      </c>
      <c r="G19" s="47">
        <f t="shared" si="6"/>
        <v>-92.166704</v>
      </c>
      <c r="H19" s="47">
        <f t="shared" si="6"/>
        <v>0</v>
      </c>
      <c r="I19" s="47">
        <f t="shared" si="6"/>
        <v>46.083352</v>
      </c>
      <c r="J19" s="47">
        <f t="shared" si="6"/>
        <v>0</v>
      </c>
      <c r="K19" s="48">
        <f t="shared" si="6"/>
        <v>-46.083352</v>
      </c>
      <c r="M19" s="29"/>
      <c r="N19" s="4" t="s">
        <v>24</v>
      </c>
      <c r="O19" s="37">
        <f aca="true" t="shared" si="7" ref="O19:V19">O9*$F$50</f>
        <v>46.083352</v>
      </c>
      <c r="P19" s="47">
        <f t="shared" si="7"/>
        <v>-23.041676</v>
      </c>
      <c r="Q19" s="47">
        <f t="shared" si="7"/>
        <v>0</v>
      </c>
      <c r="R19" s="47">
        <f t="shared" si="7"/>
        <v>92.166704</v>
      </c>
      <c r="S19" s="47">
        <f t="shared" si="7"/>
        <v>-92.166704</v>
      </c>
      <c r="T19" s="47">
        <f t="shared" si="7"/>
        <v>0</v>
      </c>
      <c r="U19" s="47">
        <f t="shared" si="7"/>
        <v>46.083352</v>
      </c>
      <c r="V19" s="47">
        <f t="shared" si="7"/>
        <v>0</v>
      </c>
      <c r="Y19" s="48">
        <f>Y9*$F$50</f>
        <v>-46.083352</v>
      </c>
    </row>
    <row r="20" spans="1:25" ht="12.75">
      <c r="A20" s="29"/>
      <c r="B20" s="4" t="s">
        <v>25</v>
      </c>
      <c r="C20" s="37">
        <f>$G$51</f>
        <v>12.166004928</v>
      </c>
      <c r="D20" s="47">
        <f aca="true" t="shared" si="8" ref="D20:K20">$G$51</f>
        <v>12.166004928</v>
      </c>
      <c r="E20" s="47">
        <f t="shared" si="8"/>
        <v>12.166004928</v>
      </c>
      <c r="F20" s="47">
        <f>$G$51</f>
        <v>12.166004928</v>
      </c>
      <c r="G20" s="47">
        <f t="shared" si="8"/>
        <v>12.166004928</v>
      </c>
      <c r="H20" s="47">
        <f t="shared" si="8"/>
        <v>12.166004928</v>
      </c>
      <c r="I20" s="47">
        <f t="shared" si="8"/>
        <v>12.166004928</v>
      </c>
      <c r="J20" s="47">
        <f t="shared" si="8"/>
        <v>12.166004928</v>
      </c>
      <c r="K20" s="48">
        <f t="shared" si="8"/>
        <v>12.166004928</v>
      </c>
      <c r="M20" s="29"/>
      <c r="N20" s="4" t="s">
        <v>25</v>
      </c>
      <c r="O20" s="37">
        <f>$G$51</f>
        <v>12.166004928</v>
      </c>
      <c r="P20" s="47">
        <f aca="true" t="shared" si="9" ref="P20:Y20">$G$51</f>
        <v>12.166004928</v>
      </c>
      <c r="Q20" s="47">
        <f t="shared" si="9"/>
        <v>12.166004928</v>
      </c>
      <c r="R20" s="47">
        <f>$G$51</f>
        <v>12.166004928</v>
      </c>
      <c r="S20" s="47">
        <f t="shared" si="9"/>
        <v>12.166004928</v>
      </c>
      <c r="T20" s="47">
        <f t="shared" si="9"/>
        <v>12.166004928</v>
      </c>
      <c r="U20" s="47">
        <f t="shared" si="9"/>
        <v>12.166004928</v>
      </c>
      <c r="V20" s="47">
        <f t="shared" si="9"/>
        <v>12.166004928</v>
      </c>
      <c r="Y20" s="48">
        <f t="shared" si="9"/>
        <v>12.166004928</v>
      </c>
    </row>
    <row r="21" spans="1:25" ht="12.75">
      <c r="A21" s="20">
        <f>A11/A22/24</f>
        <v>12.21392262616778</v>
      </c>
      <c r="B21" s="4" t="s">
        <v>26</v>
      </c>
      <c r="C21" s="35">
        <f aca="true" t="shared" si="10" ref="C21:K21">IF(C26&lt;0.05,C46/0.44704,"error")</f>
        <v>10.073485299871853</v>
      </c>
      <c r="D21" s="49">
        <f t="shared" si="10"/>
        <v>14.614075468886234</v>
      </c>
      <c r="E21" s="49">
        <f>IF(E26&lt;0.05,E46/0.44704,"error")</f>
        <v>9.99504178505719</v>
      </c>
      <c r="F21" s="49">
        <f>IF(F26&lt;0.05,F46/0.44704,"error")</f>
        <v>6.048702632637174</v>
      </c>
      <c r="G21" s="49">
        <f>IF(G26&lt;0.05,G46/0.44704,"error")</f>
        <v>40.046300935918204</v>
      </c>
      <c r="H21" s="49">
        <f t="shared" si="10"/>
        <v>10.003768802217849</v>
      </c>
      <c r="I21" s="49">
        <f t="shared" si="10"/>
        <v>10.331716983138103</v>
      </c>
      <c r="J21" s="49">
        <f t="shared" si="10"/>
        <v>12.635320907599134</v>
      </c>
      <c r="K21" s="50">
        <f t="shared" si="10"/>
        <v>18.28608486834524</v>
      </c>
      <c r="M21" s="20">
        <f>M11/M22/24</f>
        <v>12.597143962889897</v>
      </c>
      <c r="N21" s="4" t="s">
        <v>26</v>
      </c>
      <c r="O21" s="35">
        <f aca="true" t="shared" si="11" ref="O21:V21">IF(O26&lt;0.05,O46/0.44704,"error")</f>
        <v>10.073485299871853</v>
      </c>
      <c r="P21" s="49">
        <f t="shared" si="11"/>
        <v>19.31811236716578</v>
      </c>
      <c r="Q21" s="49">
        <f t="shared" si="11"/>
        <v>8.216639299510911</v>
      </c>
      <c r="R21" s="49">
        <f t="shared" si="11"/>
        <v>6.048702632637174</v>
      </c>
      <c r="S21" s="49">
        <f t="shared" si="11"/>
        <v>35.73244242839927</v>
      </c>
      <c r="T21" s="49">
        <f t="shared" si="11"/>
        <v>10.003768802217849</v>
      </c>
      <c r="U21" s="49">
        <f t="shared" si="11"/>
        <v>10.331716983138103</v>
      </c>
      <c r="V21" s="49">
        <f t="shared" si="11"/>
        <v>12.635320907599134</v>
      </c>
      <c r="Y21" s="50">
        <f>IF(Y26&lt;0.05,Y46/0.44704,"error")</f>
        <v>18.005752411087443</v>
      </c>
    </row>
    <row r="22" spans="1:25" ht="12.75">
      <c r="A22" s="36">
        <f>SUM(C22:K22)</f>
        <v>0.10916503846820895</v>
      </c>
      <c r="B22" s="4" t="s">
        <v>27</v>
      </c>
      <c r="C22" s="28">
        <f aca="true" t="shared" si="12" ref="C22:K22">C11/C21/24</f>
        <v>0.016545084616223827</v>
      </c>
      <c r="D22" s="31">
        <f t="shared" si="12"/>
        <v>0.02280906062398604</v>
      </c>
      <c r="E22" s="31">
        <f t="shared" si="12"/>
        <v>0.008337467228793234</v>
      </c>
      <c r="F22" s="31">
        <f t="shared" si="12"/>
        <v>0.013777059047950062</v>
      </c>
      <c r="G22" s="31">
        <f t="shared" si="12"/>
        <v>0.0020809246144027813</v>
      </c>
      <c r="H22" s="31">
        <f t="shared" si="12"/>
        <v>0.004165096924014189</v>
      </c>
      <c r="I22" s="31">
        <f t="shared" si="12"/>
        <v>0.020164444464878792</v>
      </c>
      <c r="J22" s="31">
        <f t="shared" si="12"/>
        <v>0.009892902674503701</v>
      </c>
      <c r="K22" s="32">
        <f t="shared" si="12"/>
        <v>0.011392998273456334</v>
      </c>
      <c r="M22" s="36">
        <f>SUM(O22:Y22)</f>
        <v>0.10584409746060049</v>
      </c>
      <c r="N22" s="4" t="s">
        <v>27</v>
      </c>
      <c r="O22" s="28">
        <f aca="true" t="shared" si="13" ref="O22:V22">O11/O21/24</f>
        <v>0.016545084616223827</v>
      </c>
      <c r="P22" s="31">
        <f t="shared" si="13"/>
        <v>0.017254963994302392</v>
      </c>
      <c r="Q22" s="31">
        <f t="shared" si="13"/>
        <v>0.010142021609527594</v>
      </c>
      <c r="R22" s="31">
        <f t="shared" si="13"/>
        <v>0.013777059047950062</v>
      </c>
      <c r="S22" s="31">
        <f t="shared" si="13"/>
        <v>0.002332147697440969</v>
      </c>
      <c r="T22" s="31">
        <f t="shared" si="13"/>
        <v>0.004165096924014189</v>
      </c>
      <c r="U22" s="31">
        <f t="shared" si="13"/>
        <v>0.020164444464878792</v>
      </c>
      <c r="V22" s="31">
        <f t="shared" si="13"/>
        <v>0.009892902674503701</v>
      </c>
      <c r="Y22" s="32">
        <f>Y11/Y21/24</f>
        <v>0.011570376431758967</v>
      </c>
    </row>
    <row r="23" spans="1:25" ht="12.75">
      <c r="A23" s="29">
        <f>SUM(C23:K23)</f>
        <v>1383.037317143681</v>
      </c>
      <c r="B23" s="4" t="s">
        <v>28</v>
      </c>
      <c r="C23" s="29">
        <f aca="true" t="shared" si="14" ref="C23:K23">($H$50+C12*$D$66)/1.163*C22*24</f>
        <v>450.46949870765314</v>
      </c>
      <c r="D23" s="21">
        <f t="shared" si="14"/>
        <v>-6.574940998220654</v>
      </c>
      <c r="E23" s="21">
        <f t="shared" si="14"/>
        <v>75.36659115298433</v>
      </c>
      <c r="F23" s="21">
        <f t="shared" si="14"/>
        <v>375.1050554863988</v>
      </c>
      <c r="G23" s="21">
        <f t="shared" si="14"/>
        <v>-86.31249614246539</v>
      </c>
      <c r="H23" s="21">
        <f t="shared" si="14"/>
        <v>34.35386412633636</v>
      </c>
      <c r="I23" s="21">
        <f t="shared" si="14"/>
        <v>549.0130392506526</v>
      </c>
      <c r="J23" s="21">
        <f t="shared" si="14"/>
        <v>105.37383284384902</v>
      </c>
      <c r="K23" s="22">
        <f t="shared" si="14"/>
        <v>-113.75712728350683</v>
      </c>
      <c r="M23" s="29">
        <f>SUM(O23:Y23)</f>
        <v>1391.9425783505885</v>
      </c>
      <c r="N23" s="4" t="s">
        <v>28</v>
      </c>
      <c r="O23" s="29">
        <f aca="true" t="shared" si="15" ref="O23:V23">($H$50+O12*$D$66)/1.163*O22*24</f>
        <v>450.46949870765314</v>
      </c>
      <c r="P23" s="21">
        <f t="shared" si="15"/>
        <v>40.78715791352336</v>
      </c>
      <c r="Q23" s="21">
        <f t="shared" si="15"/>
        <v>74.40584221650884</v>
      </c>
      <c r="R23" s="21">
        <f t="shared" si="15"/>
        <v>375.1050554863988</v>
      </c>
      <c r="S23" s="21">
        <f t="shared" si="15"/>
        <v>-120.11966648257604</v>
      </c>
      <c r="T23" s="21">
        <f t="shared" si="15"/>
        <v>34.35386412633636</v>
      </c>
      <c r="U23" s="21">
        <f t="shared" si="15"/>
        <v>549.0130392506526</v>
      </c>
      <c r="V23" s="21">
        <f t="shared" si="15"/>
        <v>105.37383284384902</v>
      </c>
      <c r="Y23" s="22">
        <f>($H$50+Y12*$D$66)/1.163*Y22*24</f>
        <v>-117.44604571175756</v>
      </c>
    </row>
    <row r="24" spans="1:25" ht="12.75">
      <c r="A24" s="30">
        <f>SUM(C24:K24)</f>
        <v>325.78357846365253</v>
      </c>
      <c r="B24" s="33" t="s">
        <v>29</v>
      </c>
      <c r="C24" s="23">
        <f>C22*C12*24</f>
        <v>119.12460923681155</v>
      </c>
      <c r="D24" s="24">
        <f aca="true" t="shared" si="16" ref="D24:K24">D22*D12*24</f>
        <v>-17.51735855922128</v>
      </c>
      <c r="E24" s="24">
        <f t="shared" si="16"/>
        <v>16.11799164670308</v>
      </c>
      <c r="F24" s="24">
        <f t="shared" si="16"/>
        <v>99.19482514524043</v>
      </c>
      <c r="G24" s="24">
        <f t="shared" si="16"/>
        <v>-26.419418904457714</v>
      </c>
      <c r="H24" s="24">
        <f t="shared" si="16"/>
        <v>7.097325158520178</v>
      </c>
      <c r="I24" s="24">
        <f t="shared" si="16"/>
        <v>145.1840001471273</v>
      </c>
      <c r="J24" s="24">
        <f t="shared" si="16"/>
        <v>23.742966418808884</v>
      </c>
      <c r="K24" s="25">
        <f t="shared" si="16"/>
        <v>-40.74136182587985</v>
      </c>
      <c r="M24" s="30">
        <f>SUM(O24:Y24)</f>
        <v>330.63568895545444</v>
      </c>
      <c r="N24" s="33" t="s">
        <v>29</v>
      </c>
      <c r="O24" s="23">
        <f aca="true" t="shared" si="17" ref="O24:V24">O22*O12*24</f>
        <v>119.12460923681155</v>
      </c>
      <c r="P24" s="24">
        <f t="shared" si="17"/>
        <v>0</v>
      </c>
      <c r="Q24" s="24">
        <f t="shared" si="17"/>
        <v>14.604511117719735</v>
      </c>
      <c r="R24" s="24">
        <f t="shared" si="17"/>
        <v>99.19482514524043</v>
      </c>
      <c r="S24" s="24">
        <f t="shared" si="17"/>
        <v>-36.38150408007911</v>
      </c>
      <c r="T24" s="24">
        <f t="shared" si="17"/>
        <v>7.097325158520178</v>
      </c>
      <c r="U24" s="24">
        <f t="shared" si="17"/>
        <v>145.1840001471273</v>
      </c>
      <c r="V24" s="24">
        <f t="shared" si="17"/>
        <v>23.742966418808884</v>
      </c>
      <c r="Y24" s="25">
        <f>Y22*Y12*24</f>
        <v>-41.9310441886945</v>
      </c>
    </row>
    <row r="25" spans="1:25" ht="12.75">
      <c r="A25" s="15"/>
      <c r="B25" s="7"/>
      <c r="C25" s="15"/>
      <c r="D25" s="15"/>
      <c r="E25" s="15"/>
      <c r="F25" s="15"/>
      <c r="G25" s="15"/>
      <c r="H25" s="15"/>
      <c r="I25" s="15"/>
      <c r="J25" s="15"/>
      <c r="K25" s="15"/>
      <c r="M25" s="15"/>
      <c r="N25" s="7"/>
      <c r="O25" s="15"/>
      <c r="P25" s="15"/>
      <c r="Q25" s="15"/>
      <c r="R25" s="15"/>
      <c r="S25" s="15"/>
      <c r="T25" s="15"/>
      <c r="U25" s="15"/>
      <c r="V25" s="15"/>
      <c r="Y25" s="15"/>
    </row>
    <row r="26" spans="2:25" ht="12.75">
      <c r="B26" t="s">
        <v>30</v>
      </c>
      <c r="C26" s="27">
        <f aca="true" t="shared" si="18" ref="C26:K26">C46*(C$16*(C46+C$27)^2+$F$50*($C$6+C$9))-$C$5*C$12</f>
        <v>9.663381206337363E-13</v>
      </c>
      <c r="D26" s="27">
        <f t="shared" si="18"/>
        <v>0.010259000506973592</v>
      </c>
      <c r="E26" s="27">
        <f t="shared" si="18"/>
        <v>5.630278107560116E-05</v>
      </c>
      <c r="F26" s="27">
        <f t="shared" si="18"/>
        <v>0</v>
      </c>
      <c r="G26" s="27">
        <f t="shared" si="18"/>
        <v>0</v>
      </c>
      <c r="H26" s="27">
        <f t="shared" si="18"/>
        <v>8.999738696502391E-07</v>
      </c>
      <c r="I26" s="27">
        <f t="shared" si="18"/>
        <v>0</v>
      </c>
      <c r="J26" s="27">
        <f t="shared" si="18"/>
        <v>3.407119208986842E-08</v>
      </c>
      <c r="K26" s="27">
        <f t="shared" si="18"/>
        <v>0.004332372477591662</v>
      </c>
      <c r="N26" t="s">
        <v>30</v>
      </c>
      <c r="O26" s="27">
        <f aca="true" t="shared" si="19" ref="O26:V26">O46*(O$16*(O46+O$27)^2+$F$50*($C$6+O$9))-$C$5*O$12</f>
        <v>9.663381206337363E-13</v>
      </c>
      <c r="P26" s="27">
        <f t="shared" si="19"/>
        <v>3.0745721068294897E-07</v>
      </c>
      <c r="Q26" s="27">
        <f t="shared" si="19"/>
        <v>0.0003620005842819296</v>
      </c>
      <c r="R26" s="27">
        <f t="shared" si="19"/>
        <v>0</v>
      </c>
      <c r="S26" s="27">
        <f t="shared" si="19"/>
        <v>0</v>
      </c>
      <c r="T26" s="27">
        <f t="shared" si="19"/>
        <v>8.999738696502391E-07</v>
      </c>
      <c r="U26" s="27">
        <f t="shared" si="19"/>
        <v>0</v>
      </c>
      <c r="V26" s="27">
        <f t="shared" si="19"/>
        <v>3.407119208986842E-08</v>
      </c>
      <c r="Y26" s="27">
        <f>Y46*(Y$16*(Y46+Y$27)^2+$F$50*($C$6+Y$9))-$C$5*Y$12</f>
        <v>0.008341884273733058</v>
      </c>
    </row>
    <row r="27" spans="2:25" ht="12.75">
      <c r="B27" t="s">
        <v>31</v>
      </c>
      <c r="C27">
        <f aca="true" t="shared" si="20" ref="C27:K27">C10*0.44704</f>
        <v>0</v>
      </c>
      <c r="D27">
        <f t="shared" si="20"/>
        <v>0</v>
      </c>
      <c r="E27">
        <f t="shared" si="20"/>
        <v>0</v>
      </c>
      <c r="F27">
        <f t="shared" si="20"/>
        <v>0</v>
      </c>
      <c r="G27">
        <f t="shared" si="20"/>
        <v>0</v>
      </c>
      <c r="H27">
        <f t="shared" si="20"/>
        <v>0</v>
      </c>
      <c r="I27">
        <f t="shared" si="20"/>
        <v>0</v>
      </c>
      <c r="J27">
        <f t="shared" si="20"/>
        <v>0</v>
      </c>
      <c r="K27">
        <f t="shared" si="20"/>
        <v>0</v>
      </c>
      <c r="N27" t="s">
        <v>31</v>
      </c>
      <c r="O27">
        <f aca="true" t="shared" si="21" ref="O27:V27">O10*0.44704</f>
        <v>0</v>
      </c>
      <c r="P27">
        <f t="shared" si="21"/>
        <v>0</v>
      </c>
      <c r="Q27">
        <f t="shared" si="21"/>
        <v>0</v>
      </c>
      <c r="R27">
        <f t="shared" si="21"/>
        <v>0</v>
      </c>
      <c r="S27">
        <f t="shared" si="21"/>
        <v>0</v>
      </c>
      <c r="T27">
        <f t="shared" si="21"/>
        <v>0</v>
      </c>
      <c r="U27">
        <f t="shared" si="21"/>
        <v>0</v>
      </c>
      <c r="V27">
        <f t="shared" si="21"/>
        <v>0</v>
      </c>
      <c r="Y27">
        <f>Y10*0.44704</f>
        <v>0</v>
      </c>
    </row>
    <row r="28" spans="2:25" ht="12.75">
      <c r="B28" t="s">
        <v>32</v>
      </c>
      <c r="C28">
        <v>20</v>
      </c>
      <c r="D28">
        <v>20</v>
      </c>
      <c r="E28">
        <v>20</v>
      </c>
      <c r="F28">
        <v>20</v>
      </c>
      <c r="G28">
        <v>20</v>
      </c>
      <c r="H28">
        <v>20</v>
      </c>
      <c r="I28">
        <v>21</v>
      </c>
      <c r="J28">
        <v>20</v>
      </c>
      <c r="K28">
        <v>20</v>
      </c>
      <c r="N28" t="s">
        <v>32</v>
      </c>
      <c r="O28">
        <v>20</v>
      </c>
      <c r="P28">
        <v>20</v>
      </c>
      <c r="Q28">
        <v>20</v>
      </c>
      <c r="R28">
        <v>20</v>
      </c>
      <c r="S28">
        <v>20</v>
      </c>
      <c r="T28">
        <v>20</v>
      </c>
      <c r="U28">
        <v>21</v>
      </c>
      <c r="V28">
        <v>20</v>
      </c>
      <c r="Y28">
        <v>20</v>
      </c>
    </row>
    <row r="29" spans="1:25" ht="12.75">
      <c r="A29" t="s">
        <v>33</v>
      </c>
      <c r="B29" t="s">
        <v>34</v>
      </c>
      <c r="C29" s="7">
        <f aca="true" t="shared" si="22" ref="C29:K29">C28*(C$16*(C28+C$27)^2+$F$50*($C$6+C$9))-$C$5*C$12</f>
        <v>2867.5367385600002</v>
      </c>
      <c r="D29" s="7">
        <f t="shared" si="22"/>
        <v>979.49177856</v>
      </c>
      <c r="E29" s="7">
        <f t="shared" si="22"/>
        <v>2154.34719856</v>
      </c>
      <c r="F29" s="7">
        <f t="shared" si="22"/>
        <v>2968.25937856</v>
      </c>
      <c r="G29" s="7">
        <f t="shared" si="22"/>
        <v>198.76401856</v>
      </c>
      <c r="H29" s="7">
        <f t="shared" si="22"/>
        <v>1342.47529856</v>
      </c>
      <c r="I29" s="7">
        <f t="shared" si="22"/>
        <v>2438.782433988</v>
      </c>
      <c r="J29" s="7">
        <f t="shared" si="22"/>
        <v>1314.92529856</v>
      </c>
      <c r="K29" s="7">
        <f t="shared" si="22"/>
        <v>1450.75265856</v>
      </c>
      <c r="M29" t="s">
        <v>33</v>
      </c>
      <c r="N29" t="s">
        <v>34</v>
      </c>
      <c r="O29" s="7">
        <f aca="true" t="shared" si="23" ref="O29:V29">O28*(O$16*(O28+O$27)^2+$F$50*($C$6+O$9))-$C$5*O$12</f>
        <v>2867.5367385600002</v>
      </c>
      <c r="P29" s="7">
        <f t="shared" si="23"/>
        <v>949.09177856</v>
      </c>
      <c r="Q29" s="7">
        <f t="shared" si="23"/>
        <v>2173.86969856</v>
      </c>
      <c r="R29" s="7">
        <f t="shared" si="23"/>
        <v>2968.25937856</v>
      </c>
      <c r="S29" s="7">
        <f t="shared" si="23"/>
        <v>313.71401856000006</v>
      </c>
      <c r="T29" s="7">
        <f t="shared" si="23"/>
        <v>1342.47529856</v>
      </c>
      <c r="U29" s="7">
        <f t="shared" si="23"/>
        <v>2438.782433988</v>
      </c>
      <c r="V29" s="7">
        <f t="shared" si="23"/>
        <v>1314.92529856</v>
      </c>
      <c r="Y29" s="7">
        <f>Y28*(Y$16*(Y28+Y$27)^2+$F$50*($C$6+Y$9))-$C$5*Y$12</f>
        <v>1452.6526585600002</v>
      </c>
    </row>
    <row r="30" spans="1:25" ht="12.75">
      <c r="A30" t="s">
        <v>35</v>
      </c>
      <c r="B30" t="s">
        <v>36</v>
      </c>
      <c r="C30" s="7">
        <f aca="true" t="shared" si="24" ref="C30:K30">C$16*(3*C28+C$27)*(C28+C$27)+$F$50*($C$6+C$9)</f>
        <v>356.381796928</v>
      </c>
      <c r="D30" s="7">
        <f t="shared" si="24"/>
        <v>164.115108928</v>
      </c>
      <c r="E30" s="7">
        <f t="shared" si="24"/>
        <v>310.29844492800004</v>
      </c>
      <c r="F30" s="7">
        <f t="shared" si="24"/>
        <v>279.323488928</v>
      </c>
      <c r="G30" s="7">
        <f t="shared" si="24"/>
        <v>114.43350092800002</v>
      </c>
      <c r="H30" s="7">
        <f t="shared" si="24"/>
        <v>187.156784928</v>
      </c>
      <c r="I30" s="7">
        <f t="shared" si="24"/>
        <v>272.613062428</v>
      </c>
      <c r="J30" s="7">
        <f t="shared" si="24"/>
        <v>187.156784928</v>
      </c>
      <c r="K30" s="7">
        <f t="shared" si="24"/>
        <v>264.21509292800005</v>
      </c>
      <c r="M30" t="s">
        <v>35</v>
      </c>
      <c r="N30" t="s">
        <v>36</v>
      </c>
      <c r="O30" s="7">
        <f aca="true" t="shared" si="25" ref="O30:V30">O$16*(3*O28+O$27)*(O28+O$27)+$F$50*($C$6+O$9)</f>
        <v>356.381796928</v>
      </c>
      <c r="P30" s="7">
        <f t="shared" si="25"/>
        <v>164.115108928</v>
      </c>
      <c r="Q30" s="7">
        <f t="shared" si="25"/>
        <v>310.29844492800004</v>
      </c>
      <c r="R30" s="7">
        <f t="shared" si="25"/>
        <v>279.323488928</v>
      </c>
      <c r="S30" s="7">
        <f t="shared" si="25"/>
        <v>114.43350092800002</v>
      </c>
      <c r="T30" s="7">
        <f t="shared" si="25"/>
        <v>187.156784928</v>
      </c>
      <c r="U30" s="7">
        <f t="shared" si="25"/>
        <v>272.613062428</v>
      </c>
      <c r="V30" s="7">
        <f t="shared" si="25"/>
        <v>187.156784928</v>
      </c>
      <c r="Y30" s="7">
        <f>Y$16*(3*Y28+Y$27)*(Y28+Y$27)+$F$50*($C$6+Y$9)</f>
        <v>264.21509292800005</v>
      </c>
    </row>
    <row r="31" spans="1:25" ht="12.75">
      <c r="A31" t="s">
        <v>37</v>
      </c>
      <c r="B31" t="s">
        <v>38</v>
      </c>
      <c r="C31" s="26">
        <f aca="true" t="shared" si="26" ref="C31:K31">C28-C29/C30</f>
        <v>11.953750827685147</v>
      </c>
      <c r="D31" s="26">
        <f t="shared" si="26"/>
        <v>14.031678222937298</v>
      </c>
      <c r="E31" s="26">
        <f t="shared" si="26"/>
        <v>13.057176941186789</v>
      </c>
      <c r="F31" s="26">
        <f t="shared" si="26"/>
        <v>9.373398599767901</v>
      </c>
      <c r="G31" s="26">
        <f t="shared" si="26"/>
        <v>18.263060931037497</v>
      </c>
      <c r="H31" s="26">
        <f t="shared" si="26"/>
        <v>12.827001708345996</v>
      </c>
      <c r="I31" s="26">
        <f t="shared" si="26"/>
        <v>12.05405143734773</v>
      </c>
      <c r="J31" s="26">
        <f t="shared" si="26"/>
        <v>12.974204493490005</v>
      </c>
      <c r="K31" s="26">
        <f t="shared" si="26"/>
        <v>14.509198386500435</v>
      </c>
      <c r="M31" t="s">
        <v>37</v>
      </c>
      <c r="N31" t="s">
        <v>38</v>
      </c>
      <c r="O31" s="26">
        <f aca="true" t="shared" si="27" ref="O31:V31">O28-O29/O30</f>
        <v>11.953750827685147</v>
      </c>
      <c r="P31" s="26">
        <f t="shared" si="27"/>
        <v>14.21691406257798</v>
      </c>
      <c r="Q31" s="26">
        <f t="shared" si="27"/>
        <v>12.994261704842211</v>
      </c>
      <c r="R31" s="26">
        <f t="shared" si="27"/>
        <v>9.373398599767901</v>
      </c>
      <c r="S31" s="26">
        <f t="shared" si="27"/>
        <v>17.258547400752995</v>
      </c>
      <c r="T31" s="26">
        <f t="shared" si="27"/>
        <v>12.827001708345996</v>
      </c>
      <c r="U31" s="26">
        <f t="shared" si="27"/>
        <v>12.05405143734773</v>
      </c>
      <c r="V31" s="26">
        <f t="shared" si="27"/>
        <v>12.974204493490005</v>
      </c>
      <c r="Y31" s="26">
        <f>Y28-Y29/Y30</f>
        <v>14.502007275731764</v>
      </c>
    </row>
    <row r="32" spans="1:25" ht="12.75">
      <c r="A32" t="s">
        <v>39</v>
      </c>
      <c r="B32" t="s">
        <v>34</v>
      </c>
      <c r="C32" s="7">
        <f aca="true" t="shared" si="28" ref="C32:K32">C31*(C$16*(C31+C$27)^2+$F$50*($C$6+C$9))-$C$5*C$12</f>
        <v>835.6643023530303</v>
      </c>
      <c r="D32" s="7">
        <f t="shared" si="28"/>
        <v>280.66408196964136</v>
      </c>
      <c r="E32" s="7">
        <f t="shared" si="28"/>
        <v>635.3957728182588</v>
      </c>
      <c r="F32" s="7">
        <f t="shared" si="28"/>
        <v>813.0471372533561</v>
      </c>
      <c r="G32" s="7">
        <f t="shared" si="28"/>
        <v>28.480910979139992</v>
      </c>
      <c r="H32" s="7">
        <f t="shared" si="28"/>
        <v>396.3613855983072</v>
      </c>
      <c r="I32" s="7">
        <f t="shared" si="28"/>
        <v>700.9264609848843</v>
      </c>
      <c r="J32" s="7">
        <f t="shared" si="28"/>
        <v>381.3198158836703</v>
      </c>
      <c r="K32" s="7">
        <f t="shared" si="28"/>
        <v>408.2905132054369</v>
      </c>
      <c r="M32" t="s">
        <v>39</v>
      </c>
      <c r="N32" t="s">
        <v>34</v>
      </c>
      <c r="O32" s="7">
        <f aca="true" t="shared" si="29" ref="O32:V32">O31*(O$16*(O31+O$27)^2+$F$50*($C$6+O$9))-$C$5*O$12</f>
        <v>835.6643023530303</v>
      </c>
      <c r="P32" s="7">
        <f t="shared" si="29"/>
        <v>264.416168354211</v>
      </c>
      <c r="Q32" s="7">
        <f t="shared" si="29"/>
        <v>646.1965786962924</v>
      </c>
      <c r="R32" s="7">
        <f t="shared" si="29"/>
        <v>813.0471372533561</v>
      </c>
      <c r="S32" s="7">
        <f t="shared" si="29"/>
        <v>69.72575410241598</v>
      </c>
      <c r="T32" s="7">
        <f t="shared" si="29"/>
        <v>396.3613855983072</v>
      </c>
      <c r="U32" s="7">
        <f t="shared" si="29"/>
        <v>700.9264609848843</v>
      </c>
      <c r="V32" s="7">
        <f t="shared" si="29"/>
        <v>381.3198158836703</v>
      </c>
      <c r="Y32" s="7">
        <f>Y31*(Y$16*(Y31+Y$27)^2+$F$50*($C$6+Y$9))-$C$5*Y$12</f>
        <v>409.30665632452656</v>
      </c>
    </row>
    <row r="33" spans="2:25" ht="12.75">
      <c r="B33" t="s">
        <v>36</v>
      </c>
      <c r="C33" s="7">
        <f aca="true" t="shared" si="30" ref="C33:K33">C$16*(3*C31+C$27)*(C31+C$27)+$F$50*($C$6+C$9)</f>
        <v>164.75132686533095</v>
      </c>
      <c r="D33" s="7">
        <f t="shared" si="30"/>
        <v>75.25828792626712</v>
      </c>
      <c r="E33" s="7">
        <f t="shared" si="30"/>
        <v>139.23740703057658</v>
      </c>
      <c r="F33" s="7">
        <f t="shared" si="30"/>
        <v>142.76969681432206</v>
      </c>
      <c r="G33" s="7">
        <f t="shared" si="30"/>
        <v>82.12796430763889</v>
      </c>
      <c r="H33" s="7">
        <f t="shared" si="30"/>
        <v>84.14495057736247</v>
      </c>
      <c r="I33" s="7">
        <f t="shared" si="30"/>
        <v>128.87765593369593</v>
      </c>
      <c r="J33" s="7">
        <f t="shared" si="30"/>
        <v>85.80649215142648</v>
      </c>
      <c r="K33" s="7">
        <f t="shared" si="30"/>
        <v>122.9873992280278</v>
      </c>
      <c r="N33" t="s">
        <v>36</v>
      </c>
      <c r="O33" s="7">
        <f aca="true" t="shared" si="31" ref="O33:V33">O$16*(3*O31+O$27)*(O31+O$27)+$F$50*($C$6+O$9)</f>
        <v>164.75132686533095</v>
      </c>
      <c r="P33" s="7">
        <f t="shared" si="31"/>
        <v>77.54745243706537</v>
      </c>
      <c r="Q33" s="7">
        <f t="shared" si="31"/>
        <v>138.01578519439175</v>
      </c>
      <c r="R33" s="7">
        <f t="shared" si="31"/>
        <v>142.76969681432206</v>
      </c>
      <c r="S33" s="7">
        <f t="shared" si="31"/>
        <v>64.78349251533432</v>
      </c>
      <c r="T33" s="7">
        <f t="shared" si="31"/>
        <v>84.14495057736247</v>
      </c>
      <c r="U33" s="7">
        <f t="shared" si="31"/>
        <v>128.87765593369593</v>
      </c>
      <c r="V33" s="7">
        <f t="shared" si="31"/>
        <v>85.80649215142648</v>
      </c>
      <c r="Y33" s="7">
        <f>Y$16*(3*Y31+Y$27)*(Y31+Y$27)+$F$50*($C$6+Y$9)</f>
        <v>122.8319061719008</v>
      </c>
    </row>
    <row r="34" spans="2:25" ht="12.75">
      <c r="B34" t="s">
        <v>40</v>
      </c>
      <c r="C34" s="26">
        <f aca="true" t="shared" si="32" ref="C34:K34">C31-C32/C33</f>
        <v>6.881474213876088</v>
      </c>
      <c r="D34" s="26">
        <f t="shared" si="32"/>
        <v>10.302333725430039</v>
      </c>
      <c r="E34" s="26">
        <f t="shared" si="32"/>
        <v>8.493778452455054</v>
      </c>
      <c r="F34" s="26">
        <f t="shared" si="32"/>
        <v>3.6785827151985178</v>
      </c>
      <c r="G34" s="26">
        <f t="shared" si="32"/>
        <v>17.916273923478723</v>
      </c>
      <c r="H34" s="26">
        <f t="shared" si="32"/>
        <v>8.11654216349316</v>
      </c>
      <c r="I34" s="26">
        <f t="shared" si="32"/>
        <v>6.615354900645573</v>
      </c>
      <c r="J34" s="26">
        <f t="shared" si="32"/>
        <v>8.530253851495008</v>
      </c>
      <c r="K34" s="26">
        <f t="shared" si="32"/>
        <v>11.189423224425205</v>
      </c>
      <c r="N34" t="s">
        <v>40</v>
      </c>
      <c r="O34" s="26">
        <f aca="true" t="shared" si="33" ref="O34:V34">O31-O32/O33</f>
        <v>6.881474213876088</v>
      </c>
      <c r="P34" s="26">
        <f t="shared" si="33"/>
        <v>10.807180279655821</v>
      </c>
      <c r="Q34" s="26">
        <f t="shared" si="33"/>
        <v>8.312213359530544</v>
      </c>
      <c r="R34" s="26">
        <f t="shared" si="33"/>
        <v>3.6785827151985178</v>
      </c>
      <c r="S34" s="26">
        <f t="shared" si="33"/>
        <v>16.18225849758971</v>
      </c>
      <c r="T34" s="26">
        <f t="shared" si="33"/>
        <v>8.11654216349316</v>
      </c>
      <c r="U34" s="26">
        <f t="shared" si="33"/>
        <v>6.615354900645573</v>
      </c>
      <c r="V34" s="26">
        <f t="shared" si="33"/>
        <v>8.530253851495008</v>
      </c>
      <c r="Y34" s="26">
        <f>Y31-Y32/Y33</f>
        <v>11.169756974643786</v>
      </c>
    </row>
    <row r="35" spans="2:25" ht="12.75">
      <c r="B35" t="s">
        <v>34</v>
      </c>
      <c r="C35" s="7">
        <f aca="true" t="shared" si="34" ref="C35:K35">C34*(C$16*(C34+C$27)^2+$F$50*($C$6+C$9))-$C$5*C$12</f>
        <v>196.80181108763423</v>
      </c>
      <c r="D35" s="7">
        <f t="shared" si="34"/>
        <v>77.8111694190591</v>
      </c>
      <c r="E35" s="7">
        <f t="shared" si="34"/>
        <v>179.05355153248672</v>
      </c>
      <c r="F35" s="7">
        <f t="shared" si="34"/>
        <v>106.05547799903195</v>
      </c>
      <c r="G35" s="7">
        <f t="shared" si="34"/>
        <v>1.0608507220460979</v>
      </c>
      <c r="H35" s="7">
        <f t="shared" si="34"/>
        <v>109.26939900036454</v>
      </c>
      <c r="I35" s="7">
        <f t="shared" si="34"/>
        <v>147.24859432505838</v>
      </c>
      <c r="J35" s="7">
        <f t="shared" si="34"/>
        <v>99.29395026811292</v>
      </c>
      <c r="K35" s="7">
        <f t="shared" si="34"/>
        <v>110.09202448466094</v>
      </c>
      <c r="N35" t="s">
        <v>34</v>
      </c>
      <c r="O35" s="7">
        <f aca="true" t="shared" si="35" ref="O35:V35">O34*(O$16*(O34+O$27)^2+$F$50*($C$6+O$9))-$C$5*O$12</f>
        <v>196.80181108763423</v>
      </c>
      <c r="P35" s="7">
        <f t="shared" si="35"/>
        <v>66.52961728695358</v>
      </c>
      <c r="Q35" s="7">
        <f t="shared" si="35"/>
        <v>186.81133526020034</v>
      </c>
      <c r="R35" s="7">
        <f t="shared" si="35"/>
        <v>106.05547799903195</v>
      </c>
      <c r="S35" s="7">
        <f t="shared" si="35"/>
        <v>9.515936961131274</v>
      </c>
      <c r="T35" s="7">
        <f t="shared" si="35"/>
        <v>109.26939900036454</v>
      </c>
      <c r="U35" s="7">
        <f t="shared" si="35"/>
        <v>147.24859432505838</v>
      </c>
      <c r="V35" s="7">
        <f t="shared" si="35"/>
        <v>99.29395026811292</v>
      </c>
      <c r="Y35" s="7">
        <f>Y34*(Y$16*(Y34+Y$27)^2+$F$50*($C$6+Y$9))-$C$5*Y$12</f>
        <v>110.82706332604499</v>
      </c>
    </row>
    <row r="36" spans="2:25" ht="12.75">
      <c r="B36" t="s">
        <v>36</v>
      </c>
      <c r="C36" s="7">
        <f aca="true" t="shared" si="36" ref="C36:K36">C$16*(3*C34+C$27)*(C34+C$27)+$F$50*($C$6+C$9)</f>
        <v>93.5442781453836</v>
      </c>
      <c r="D36" s="7">
        <f t="shared" si="36"/>
        <v>35.557292528434886</v>
      </c>
      <c r="E36" s="7">
        <f t="shared" si="36"/>
        <v>65.93737483413682</v>
      </c>
      <c r="F36" s="7">
        <f t="shared" si="36"/>
        <v>110.25263423781705</v>
      </c>
      <c r="G36" s="7">
        <f t="shared" si="36"/>
        <v>76.02928127084233</v>
      </c>
      <c r="H36" s="7">
        <f t="shared" si="36"/>
        <v>40.98622373682923</v>
      </c>
      <c r="I36" s="7">
        <f t="shared" si="36"/>
        <v>79.52187800198622</v>
      </c>
      <c r="J36" s="7">
        <f t="shared" si="36"/>
        <v>43.99911615171935</v>
      </c>
      <c r="K36" s="7">
        <f t="shared" si="36"/>
        <v>59.40048581590585</v>
      </c>
      <c r="N36" t="s">
        <v>36</v>
      </c>
      <c r="O36" s="7">
        <f aca="true" t="shared" si="37" ref="O36:V36">O$16*(3*O34+O$27)*(O34+O$27)+$F$50*($C$6+O$9)</f>
        <v>93.5442781453836</v>
      </c>
      <c r="P36" s="7">
        <f t="shared" si="37"/>
        <v>40.219512998573464</v>
      </c>
      <c r="Q36" s="7">
        <f t="shared" si="37"/>
        <v>63.663085330285114</v>
      </c>
      <c r="R36" s="7">
        <f t="shared" si="37"/>
        <v>110.25263423781705</v>
      </c>
      <c r="S36" s="7">
        <f t="shared" si="37"/>
        <v>47.28831860764987</v>
      </c>
      <c r="T36" s="7">
        <f t="shared" si="37"/>
        <v>40.98622373682923</v>
      </c>
      <c r="U36" s="7">
        <f t="shared" si="37"/>
        <v>79.52187800198622</v>
      </c>
      <c r="V36" s="7">
        <f t="shared" si="37"/>
        <v>43.99911615171935</v>
      </c>
      <c r="Y36" s="7">
        <f>Y$16*(3*Y34+Y$27)*(Y34+Y$27)+$F$50*($C$6+Y$9)</f>
        <v>59.072747913295515</v>
      </c>
    </row>
    <row r="37" spans="2:25" ht="12.75">
      <c r="B37" t="s">
        <v>41</v>
      </c>
      <c r="C37" s="26">
        <f aca="true" t="shared" si="38" ref="C37:K37">C34-C35/C36</f>
        <v>4.777638308682924</v>
      </c>
      <c r="D37" s="26">
        <f t="shared" si="38"/>
        <v>8.114001490718014</v>
      </c>
      <c r="E37" s="26">
        <f t="shared" si="38"/>
        <v>5.778269198668568</v>
      </c>
      <c r="F37" s="26">
        <f t="shared" si="38"/>
        <v>2.716651249957803</v>
      </c>
      <c r="G37" s="26">
        <f t="shared" si="38"/>
        <v>17.902320737228454</v>
      </c>
      <c r="H37" s="26">
        <f t="shared" si="38"/>
        <v>5.450539076651624</v>
      </c>
      <c r="I37" s="26">
        <f t="shared" si="38"/>
        <v>4.763680895645583</v>
      </c>
      <c r="J37" s="26">
        <f t="shared" si="38"/>
        <v>6.273527831687612</v>
      </c>
      <c r="K37" s="26">
        <f t="shared" si="38"/>
        <v>9.336037297147465</v>
      </c>
      <c r="N37" t="s">
        <v>41</v>
      </c>
      <c r="O37" s="26">
        <f aca="true" t="shared" si="39" ref="O37:V37">O34-O35/O36</f>
        <v>4.777638308682924</v>
      </c>
      <c r="P37" s="26">
        <f t="shared" si="39"/>
        <v>9.153017602715568</v>
      </c>
      <c r="Q37" s="26">
        <f t="shared" si="39"/>
        <v>5.3778388426339765</v>
      </c>
      <c r="R37" s="26">
        <f t="shared" si="39"/>
        <v>2.716651249957803</v>
      </c>
      <c r="S37" s="26">
        <f t="shared" si="39"/>
        <v>15.981026200876334</v>
      </c>
      <c r="T37" s="26">
        <f t="shared" si="39"/>
        <v>5.450539076651624</v>
      </c>
      <c r="U37" s="26">
        <f t="shared" si="39"/>
        <v>4.763680895645583</v>
      </c>
      <c r="V37" s="26">
        <f t="shared" si="39"/>
        <v>6.273527831687612</v>
      </c>
      <c r="Y37" s="26">
        <f>Y34-Y35/Y36</f>
        <v>9.293645447062366</v>
      </c>
    </row>
    <row r="38" spans="2:25" ht="12.75">
      <c r="B38" t="s">
        <v>34</v>
      </c>
      <c r="C38" s="7">
        <f aca="true" t="shared" si="40" ref="C38:K38">C37*(C$16*(C37+C$27)^2+$F$50*($C$6+C$9))-$C$5*C$12</f>
        <v>20.388026417915455</v>
      </c>
      <c r="D38" s="7">
        <f t="shared" si="40"/>
        <v>20.05509592300649</v>
      </c>
      <c r="E38" s="7">
        <f t="shared" si="40"/>
        <v>41.70748255516777</v>
      </c>
      <c r="F38" s="7">
        <f t="shared" si="40"/>
        <v>1.3593028462739198</v>
      </c>
      <c r="G38" s="7">
        <f t="shared" si="40"/>
        <v>0.0016950963362774019</v>
      </c>
      <c r="H38" s="7">
        <f t="shared" si="40"/>
        <v>22.47434651920811</v>
      </c>
      <c r="I38" s="7">
        <f t="shared" si="40"/>
        <v>9.996722038518612</v>
      </c>
      <c r="J38" s="7">
        <f t="shared" si="40"/>
        <v>17.32931708837691</v>
      </c>
      <c r="K38" s="7">
        <f t="shared" si="40"/>
        <v>27.06592253205457</v>
      </c>
      <c r="N38" t="s">
        <v>34</v>
      </c>
      <c r="O38" s="7">
        <f aca="true" t="shared" si="41" ref="O38:V38">O37*(O$16*(O37+O$27)^2+$F$50*($C$6+O$9))-$C$5*O$12</f>
        <v>20.388026417915455</v>
      </c>
      <c r="P38" s="7">
        <f t="shared" si="41"/>
        <v>12.276677447917146</v>
      </c>
      <c r="Q38" s="7">
        <f t="shared" si="41"/>
        <v>47.06807919756541</v>
      </c>
      <c r="R38" s="7">
        <f t="shared" si="41"/>
        <v>1.3593028462739198</v>
      </c>
      <c r="S38" s="7">
        <f t="shared" si="41"/>
        <v>0.31720733667816603</v>
      </c>
      <c r="T38" s="7">
        <f t="shared" si="41"/>
        <v>22.47434651920811</v>
      </c>
      <c r="U38" s="7">
        <f t="shared" si="41"/>
        <v>9.996722038518612</v>
      </c>
      <c r="V38" s="7">
        <f t="shared" si="41"/>
        <v>17.32931708837691</v>
      </c>
      <c r="Y38" s="7">
        <f>Y37*(Y$16*(Y37+Y$27)^2+$F$50*($C$6+Y$9))-$C$5*Y$12</f>
        <v>27.662272933996334</v>
      </c>
    </row>
    <row r="39" spans="2:25" ht="12.75">
      <c r="B39" t="s">
        <v>36</v>
      </c>
      <c r="C39" s="7">
        <f aca="true" t="shared" si="42" ref="C39:K39">C$16*(3*C37+C$27)*(C37+C$27)+$F$50*($C$6+C$9)</f>
        <v>75.26215627699042</v>
      </c>
      <c r="D39" s="7">
        <f t="shared" si="42"/>
        <v>17.926507718410775</v>
      </c>
      <c r="E39" s="7">
        <f t="shared" si="42"/>
        <v>37.051414050112086</v>
      </c>
      <c r="F39" s="7">
        <f t="shared" si="42"/>
        <v>107.56137369560805</v>
      </c>
      <c r="G39" s="7">
        <f t="shared" si="42"/>
        <v>75.78634374740464</v>
      </c>
      <c r="H39" s="7">
        <f t="shared" si="42"/>
        <v>25.16273474884951</v>
      </c>
      <c r="I39" s="7">
        <f t="shared" si="42"/>
        <v>69.27992780837208</v>
      </c>
      <c r="J39" s="7">
        <f t="shared" si="42"/>
        <v>29.383851507203556</v>
      </c>
      <c r="K39" s="7">
        <f t="shared" si="42"/>
        <v>31.046898479475956</v>
      </c>
      <c r="N39" t="s">
        <v>36</v>
      </c>
      <c r="O39" s="7">
        <f aca="true" t="shared" si="43" ref="O39:V39">O$16*(3*O37+O$27)*(O37+O$27)+$F$50*($C$6+O$9)</f>
        <v>75.26215627699042</v>
      </c>
      <c r="P39" s="7">
        <f t="shared" si="43"/>
        <v>25.775155266879224</v>
      </c>
      <c r="Q39" s="7">
        <f t="shared" si="43"/>
        <v>33.72183793088975</v>
      </c>
      <c r="R39" s="7">
        <f t="shared" si="43"/>
        <v>107.56137369560805</v>
      </c>
      <c r="S39" s="7">
        <f t="shared" si="43"/>
        <v>44.14223148495063</v>
      </c>
      <c r="T39" s="7">
        <f t="shared" si="43"/>
        <v>25.16273474884951</v>
      </c>
      <c r="U39" s="7">
        <f t="shared" si="43"/>
        <v>69.27992780837208</v>
      </c>
      <c r="V39" s="7">
        <f t="shared" si="43"/>
        <v>29.383851507203556</v>
      </c>
      <c r="Y39" s="7">
        <f>Y$16*(3*Y37+Y$27)*(Y37+Y$27)+$F$50*($C$6+Y$9)</f>
        <v>30.45827568940861</v>
      </c>
    </row>
    <row r="40" spans="2:25" ht="12.75">
      <c r="B40" t="s">
        <v>42</v>
      </c>
      <c r="C40" s="26">
        <f aca="true" t="shared" si="44" ref="C40:K40">C37-C38/C39</f>
        <v>4.506744842079595</v>
      </c>
      <c r="D40" s="26">
        <f t="shared" si="44"/>
        <v>6.995261787590582</v>
      </c>
      <c r="E40" s="26">
        <f t="shared" si="44"/>
        <v>4.652604129617266</v>
      </c>
      <c r="F40" s="26">
        <f t="shared" si="44"/>
        <v>2.704013787274213</v>
      </c>
      <c r="G40" s="26">
        <f t="shared" si="44"/>
        <v>17.902298370450318</v>
      </c>
      <c r="H40" s="26">
        <f t="shared" si="44"/>
        <v>4.557379142187995</v>
      </c>
      <c r="I40" s="26">
        <f t="shared" si="44"/>
        <v>4.619386258587509</v>
      </c>
      <c r="J40" s="26">
        <f t="shared" si="44"/>
        <v>5.683771343021428</v>
      </c>
      <c r="K40" s="26">
        <f t="shared" si="44"/>
        <v>8.464261890984208</v>
      </c>
      <c r="N40" t="s">
        <v>42</v>
      </c>
      <c r="O40" s="26">
        <f aca="true" t="shared" si="45" ref="O40:V40">O37-O38/O39</f>
        <v>4.506744842079595</v>
      </c>
      <c r="P40" s="26">
        <f t="shared" si="45"/>
        <v>8.676718728051076</v>
      </c>
      <c r="Q40" s="26">
        <f t="shared" si="45"/>
        <v>3.982064410231219</v>
      </c>
      <c r="R40" s="26">
        <f t="shared" si="45"/>
        <v>2.704013787274213</v>
      </c>
      <c r="S40" s="26">
        <f t="shared" si="45"/>
        <v>15.973840172304437</v>
      </c>
      <c r="T40" s="26">
        <f t="shared" si="45"/>
        <v>4.557379142187995</v>
      </c>
      <c r="U40" s="26">
        <f t="shared" si="45"/>
        <v>4.619386258587509</v>
      </c>
      <c r="V40" s="26">
        <f t="shared" si="45"/>
        <v>5.683771343021428</v>
      </c>
      <c r="Y40" s="26">
        <f>Y37-Y38/Y39</f>
        <v>8.385443248878985</v>
      </c>
    </row>
    <row r="41" spans="2:25" ht="12.75">
      <c r="B41" t="s">
        <v>34</v>
      </c>
      <c r="C41" s="7">
        <f aca="true" t="shared" si="46" ref="C41:K41">C40*(C$16*(C40+C$27)^2+$F$50*($C$6+C$9))-$C$5*C$12</f>
        <v>0.25637330763379396</v>
      </c>
      <c r="D41" s="7">
        <f t="shared" si="46"/>
        <v>4.238530344682999</v>
      </c>
      <c r="E41" s="7">
        <f t="shared" si="46"/>
        <v>5.102774875712015</v>
      </c>
      <c r="F41" s="7">
        <f t="shared" si="46"/>
        <v>0.00018951120370047647</v>
      </c>
      <c r="G41" s="7">
        <f t="shared" si="46"/>
        <v>4.3534669202927034E-09</v>
      </c>
      <c r="H41" s="7">
        <f t="shared" si="46"/>
        <v>1.7982850666236914</v>
      </c>
      <c r="I41" s="7">
        <f t="shared" si="46"/>
        <v>0.04772527182893782</v>
      </c>
      <c r="J41" s="7">
        <f t="shared" si="46"/>
        <v>0.9246678261156092</v>
      </c>
      <c r="K41" s="7">
        <f t="shared" si="46"/>
        <v>5.12375588314606</v>
      </c>
      <c r="N41" t="s">
        <v>34</v>
      </c>
      <c r="O41" s="7">
        <f aca="true" t="shared" si="47" ref="O41:V41">O40*(O$16*(O40+O$27)^2+$F$50*($C$6+O$9))-$C$5*O$12</f>
        <v>0.25637330763379396</v>
      </c>
      <c r="P41" s="7">
        <f t="shared" si="47"/>
        <v>0.8926460851192507</v>
      </c>
      <c r="Q41" s="7">
        <f t="shared" si="47"/>
        <v>7.1332824079107695</v>
      </c>
      <c r="R41" s="7">
        <f t="shared" si="47"/>
        <v>0.00018951120370047647</v>
      </c>
      <c r="S41" s="7">
        <f t="shared" si="47"/>
        <v>0.0004010791715245432</v>
      </c>
      <c r="T41" s="7">
        <f t="shared" si="47"/>
        <v>1.7982850666236914</v>
      </c>
      <c r="U41" s="7">
        <f t="shared" si="47"/>
        <v>0.04772527182893782</v>
      </c>
      <c r="V41" s="7">
        <f t="shared" si="47"/>
        <v>0.9246678261156092</v>
      </c>
      <c r="Y41" s="7">
        <f>Y40*(Y$16*(Y40+Y$27)^2+$F$50*($C$6+Y$9))-$C$5*Y$12</f>
        <v>5.527363898572531</v>
      </c>
    </row>
    <row r="42" spans="2:25" ht="12.75">
      <c r="B42" t="s">
        <v>36</v>
      </c>
      <c r="C42" s="7">
        <f aca="true" t="shared" si="48" ref="C42:K42">C$16*(3*C40+C$27)*(C40+C$27)+$F$50*($C$6+C$9)</f>
        <v>73.38758987536784</v>
      </c>
      <c r="D42" s="7">
        <f t="shared" si="48"/>
        <v>10.531689277658339</v>
      </c>
      <c r="E42" s="7">
        <f t="shared" si="48"/>
        <v>28.299982422973468</v>
      </c>
      <c r="F42" s="7">
        <f t="shared" si="48"/>
        <v>107.5314050143065</v>
      </c>
      <c r="G42" s="7">
        <f t="shared" si="48"/>
        <v>75.78595447362302</v>
      </c>
      <c r="H42" s="7">
        <f t="shared" si="48"/>
        <v>21.252271968779873</v>
      </c>
      <c r="I42" s="7">
        <f t="shared" si="48"/>
        <v>68.62180388069339</v>
      </c>
      <c r="J42" s="7">
        <f t="shared" si="48"/>
        <v>26.29881008922486</v>
      </c>
      <c r="K42" s="7">
        <f t="shared" si="48"/>
        <v>19.480952539370655</v>
      </c>
      <c r="N42" t="s">
        <v>36</v>
      </c>
      <c r="O42" s="7">
        <f aca="true" t="shared" si="49" ref="O42:V42">O$16*(3*O40+O$27)*(O40+O$27)+$F$50*($C$6+O$9)</f>
        <v>73.38758987536784</v>
      </c>
      <c r="P42" s="7">
        <f t="shared" si="49"/>
        <v>22.05997704842536</v>
      </c>
      <c r="Q42" s="7">
        <f t="shared" si="49"/>
        <v>23.98459866730628</v>
      </c>
      <c r="R42" s="7">
        <f t="shared" si="49"/>
        <v>107.5314050143065</v>
      </c>
      <c r="S42" s="7">
        <f t="shared" si="49"/>
        <v>44.03061236048114</v>
      </c>
      <c r="T42" s="7">
        <f t="shared" si="49"/>
        <v>21.252271968779873</v>
      </c>
      <c r="U42" s="7">
        <f t="shared" si="49"/>
        <v>68.62180388069339</v>
      </c>
      <c r="V42" s="7">
        <f t="shared" si="49"/>
        <v>26.29881008922486</v>
      </c>
      <c r="Y42" s="7">
        <f>Y$16*(3*Y40+Y$27)*(Y40+Y$27)+$F$50*($C$6+Y$9)</f>
        <v>18.491100010249554</v>
      </c>
    </row>
    <row r="43" spans="2:25" ht="12.75">
      <c r="B43" t="s">
        <v>43</v>
      </c>
      <c r="C43" s="26">
        <f aca="true" t="shared" si="50" ref="C43:K43">C40-C41/C42</f>
        <v>4.503251427074835</v>
      </c>
      <c r="D43" s="26">
        <f t="shared" si="50"/>
        <v>6.592806850596332</v>
      </c>
      <c r="E43" s="26">
        <f t="shared" si="50"/>
        <v>4.472293951347697</v>
      </c>
      <c r="F43" s="26">
        <f t="shared" si="50"/>
        <v>2.704012024894156</v>
      </c>
      <c r="G43" s="26">
        <f t="shared" si="50"/>
        <v>17.902298370392874</v>
      </c>
      <c r="H43" s="26">
        <f t="shared" si="50"/>
        <v>4.472763009415677</v>
      </c>
      <c r="I43" s="26">
        <f t="shared" si="50"/>
        <v>4.618690775969304</v>
      </c>
      <c r="J43" s="26">
        <f t="shared" si="50"/>
        <v>5.648611279772237</v>
      </c>
      <c r="K43" s="26">
        <f t="shared" si="50"/>
        <v>8.201248269202058</v>
      </c>
      <c r="N43" t="s">
        <v>43</v>
      </c>
      <c r="O43" s="26">
        <f aca="true" t="shared" si="51" ref="O43:V43">O40-O41/O42</f>
        <v>4.503251427074835</v>
      </c>
      <c r="P43" s="26">
        <f t="shared" si="51"/>
        <v>8.636254221530523</v>
      </c>
      <c r="Q43" s="26">
        <f t="shared" si="51"/>
        <v>3.6846534546902268</v>
      </c>
      <c r="R43" s="26">
        <f t="shared" si="51"/>
        <v>2.704012024894156</v>
      </c>
      <c r="S43" s="26">
        <f t="shared" si="51"/>
        <v>15.973831063206243</v>
      </c>
      <c r="T43" s="26">
        <f t="shared" si="51"/>
        <v>4.472763009415677</v>
      </c>
      <c r="U43" s="26">
        <f t="shared" si="51"/>
        <v>4.618690775969304</v>
      </c>
      <c r="V43" s="26">
        <f t="shared" si="51"/>
        <v>5.648611279772237</v>
      </c>
      <c r="Y43" s="26">
        <f>Y40-Y41/Y42</f>
        <v>8.08652301722653</v>
      </c>
    </row>
    <row r="44" spans="2:25" ht="12.75">
      <c r="B44" t="s">
        <v>34</v>
      </c>
      <c r="C44" s="7">
        <f aca="true" t="shared" si="52" ref="C44:K44">C43*(C$16*(C43+C$27)^2+$F$50*($C$6+C$9))-$C$5*C$12</f>
        <v>4.098267925201071E-05</v>
      </c>
      <c r="D44" s="7">
        <f t="shared" si="52"/>
        <v>0.4861654428072235</v>
      </c>
      <c r="E44" s="7">
        <f t="shared" si="52"/>
        <v>0.11128559786972403</v>
      </c>
      <c r="F44" s="7">
        <f t="shared" si="52"/>
        <v>3.637978807091713E-12</v>
      </c>
      <c r="G44" s="7">
        <f t="shared" si="52"/>
        <v>0</v>
      </c>
      <c r="H44" s="7">
        <f t="shared" si="52"/>
        <v>0.014186671228898717</v>
      </c>
      <c r="I44" s="7">
        <f t="shared" si="52"/>
        <v>1.0860447332561307E-06</v>
      </c>
      <c r="J44" s="7">
        <f t="shared" si="52"/>
        <v>0.0030675709951424324</v>
      </c>
      <c r="K44" s="7">
        <f t="shared" si="52"/>
        <v>0.43188987322142225</v>
      </c>
      <c r="N44" t="s">
        <v>34</v>
      </c>
      <c r="O44" s="7">
        <f aca="true" t="shared" si="53" ref="O44:V44">O43*(O$16*(O43+O$27)^2+$F$50*($C$6+O$9))-$C$5*O$12</f>
        <v>4.098267925201071E-05</v>
      </c>
      <c r="P44" s="7">
        <f t="shared" si="53"/>
        <v>0.006205596665406159</v>
      </c>
      <c r="Q44" s="7">
        <f t="shared" si="53"/>
        <v>0.2559896703612452</v>
      </c>
      <c r="R44" s="7">
        <f t="shared" si="53"/>
        <v>3.637978807091713E-12</v>
      </c>
      <c r="S44" s="7">
        <f t="shared" si="53"/>
        <v>6.443769962061197E-10</v>
      </c>
      <c r="T44" s="7">
        <f t="shared" si="53"/>
        <v>0.014186671228898717</v>
      </c>
      <c r="U44" s="7">
        <f t="shared" si="53"/>
        <v>1.0860447332561307E-06</v>
      </c>
      <c r="V44" s="7">
        <f t="shared" si="53"/>
        <v>0.0030675709951424324</v>
      </c>
      <c r="Y44" s="7">
        <f>Y43*(Y$16*(Y43+Y$27)^2+$F$50*($C$6+Y$9))-$C$5*Y$12</f>
        <v>0.5518162378001819</v>
      </c>
    </row>
    <row r="45" spans="2:25" ht="12.75">
      <c r="B45" t="s">
        <v>36</v>
      </c>
      <c r="C45" s="7">
        <f aca="true" t="shared" si="54" ref="C45:K45">C$16*(3*C43+C$27)*(C43+C$27)+$F$50*($C$6+C$9)</f>
        <v>73.36413008993925</v>
      </c>
      <c r="D45" s="7">
        <f t="shared" si="54"/>
        <v>8.139309256450593</v>
      </c>
      <c r="E45" s="7">
        <f t="shared" si="54"/>
        <v>27.073680220415895</v>
      </c>
      <c r="F45" s="7">
        <f t="shared" si="54"/>
        <v>107.53140084471508</v>
      </c>
      <c r="G45" s="7">
        <f t="shared" si="54"/>
        <v>75.78595447262326</v>
      </c>
      <c r="H45" s="7">
        <f t="shared" si="54"/>
        <v>20.917997709262735</v>
      </c>
      <c r="I45" s="7">
        <f t="shared" si="54"/>
        <v>68.61868081926902</v>
      </c>
      <c r="J45" s="7">
        <f t="shared" si="54"/>
        <v>26.124498584155504</v>
      </c>
      <c r="K45" s="7">
        <f t="shared" si="54"/>
        <v>16.213975384619474</v>
      </c>
      <c r="N45" t="s">
        <v>36</v>
      </c>
      <c r="O45" s="7">
        <f aca="true" t="shared" si="55" ref="O45:V45">O$16*(3*O43+O$27)*(O43+O$27)+$F$50*($C$6+O$9)</f>
        <v>73.36413008993925</v>
      </c>
      <c r="P45" s="7">
        <f t="shared" si="55"/>
        <v>21.753497799625535</v>
      </c>
      <c r="Q45" s="7">
        <f t="shared" si="55"/>
        <v>22.285120119259638</v>
      </c>
      <c r="R45" s="7">
        <f t="shared" si="55"/>
        <v>107.53140084471508</v>
      </c>
      <c r="S45" s="7">
        <f t="shared" si="55"/>
        <v>44.03047090256487</v>
      </c>
      <c r="T45" s="7">
        <f t="shared" si="55"/>
        <v>20.917997709262735</v>
      </c>
      <c r="U45" s="7">
        <f t="shared" si="55"/>
        <v>68.61868081926902</v>
      </c>
      <c r="V45" s="7">
        <f t="shared" si="55"/>
        <v>26.124498584155504</v>
      </c>
      <c r="Y45" s="7">
        <f>Y$16*(3*Y43+Y$27)*(Y43+Y$27)+$F$50*($C$6+Y$9)</f>
        <v>14.82123577958781</v>
      </c>
    </row>
    <row r="46" spans="2:25" ht="12.75">
      <c r="B46" t="s">
        <v>44</v>
      </c>
      <c r="C46" s="26">
        <f aca="true" t="shared" si="56" ref="C46:K46">C43-C44/C45</f>
        <v>4.503250868454713</v>
      </c>
      <c r="D46" s="26">
        <f t="shared" si="56"/>
        <v>6.5330762976109025</v>
      </c>
      <c r="E46" s="26">
        <f t="shared" si="56"/>
        <v>4.468183479591966</v>
      </c>
      <c r="F46" s="26">
        <f t="shared" si="56"/>
        <v>2.7040120248941224</v>
      </c>
      <c r="G46" s="26">
        <f t="shared" si="56"/>
        <v>17.902298370392874</v>
      </c>
      <c r="H46" s="26">
        <f t="shared" si="56"/>
        <v>4.472084805343467</v>
      </c>
      <c r="I46" s="26">
        <f t="shared" si="56"/>
        <v>4.618690760142058</v>
      </c>
      <c r="J46" s="26">
        <f t="shared" si="56"/>
        <v>5.648493858533117</v>
      </c>
      <c r="K46" s="26">
        <f t="shared" si="56"/>
        <v>8.174611379545057</v>
      </c>
      <c r="N46" t="s">
        <v>44</v>
      </c>
      <c r="O46" s="26">
        <f aca="true" t="shared" si="57" ref="O46:V46">O43-O44/O45</f>
        <v>4.503250868454713</v>
      </c>
      <c r="P46" s="26">
        <f t="shared" si="57"/>
        <v>8.635968952617791</v>
      </c>
      <c r="Q46" s="26">
        <f t="shared" si="57"/>
        <v>3.6731664324533573</v>
      </c>
      <c r="R46" s="26">
        <f t="shared" si="57"/>
        <v>2.7040120248941224</v>
      </c>
      <c r="S46" s="26">
        <f t="shared" si="57"/>
        <v>15.973831063191607</v>
      </c>
      <c r="T46" s="26">
        <f t="shared" si="57"/>
        <v>4.472084805343467</v>
      </c>
      <c r="U46" s="26">
        <f t="shared" si="57"/>
        <v>4.618690760142058</v>
      </c>
      <c r="V46" s="26">
        <f t="shared" si="57"/>
        <v>5.648493858533117</v>
      </c>
      <c r="Y46" s="26">
        <f>Y43-Y44/Y45</f>
        <v>8.04929155785253</v>
      </c>
    </row>
    <row r="49" spans="2:13" ht="18">
      <c r="B49" s="8" t="s">
        <v>45</v>
      </c>
      <c r="C49" s="9" t="s">
        <v>46</v>
      </c>
      <c r="M49" s="51" t="s">
        <v>65</v>
      </c>
    </row>
    <row r="50" spans="2:13" ht="12.75">
      <c r="B50" s="1">
        <v>-30</v>
      </c>
      <c r="C50" s="2">
        <v>1.5147</v>
      </c>
      <c r="D50" s="1" t="s">
        <v>47</v>
      </c>
      <c r="E50" s="10">
        <f>C2*4.4482</f>
        <v>800.6759999999999</v>
      </c>
      <c r="F50" s="2">
        <f>E50+E51</f>
        <v>921.6670399999999</v>
      </c>
      <c r="G50" s="1">
        <f>C2/2.2</f>
        <v>81.81818181818181</v>
      </c>
      <c r="H50" s="10">
        <f>G50*C67</f>
        <v>114.54545454545453</v>
      </c>
      <c r="I50" s="2"/>
      <c r="M50" s="52" t="s">
        <v>66</v>
      </c>
    </row>
    <row r="51" spans="2:9" ht="12.75">
      <c r="B51" s="3">
        <v>-25</v>
      </c>
      <c r="C51" s="4">
        <v>1.4829</v>
      </c>
      <c r="D51" s="5"/>
      <c r="E51" s="11">
        <f>C3*4.4482</f>
        <v>120.99104</v>
      </c>
      <c r="F51" s="6"/>
      <c r="G51" s="5">
        <f>C6*F50</f>
        <v>12.166004928</v>
      </c>
      <c r="H51" s="11"/>
      <c r="I51" s="6"/>
    </row>
    <row r="52" spans="2:9" ht="12.75">
      <c r="B52" s="3">
        <v>-20</v>
      </c>
      <c r="C52" s="4">
        <v>1.3961</v>
      </c>
      <c r="D52" s="12" t="s">
        <v>48</v>
      </c>
      <c r="E52" s="13">
        <f>(C4-32)/1.8</f>
        <v>21.11111111111111</v>
      </c>
      <c r="F52" s="13">
        <f>VLOOKUP(E52,$B$50:$C$64,2)</f>
        <v>1.2047</v>
      </c>
      <c r="G52" s="13">
        <f>VLOOKUP(E52+5,$B$50:$C$64,2)</f>
        <v>1.1845</v>
      </c>
      <c r="H52" s="14">
        <f>MOD(E52,5)*0.2*(G52-F52)+F52</f>
        <v>1.2002111111111111</v>
      </c>
      <c r="I52" s="14"/>
    </row>
    <row r="53" spans="2:3" ht="12.75">
      <c r="B53" s="3">
        <v>-15</v>
      </c>
      <c r="C53" s="4">
        <v>1.368</v>
      </c>
    </row>
    <row r="54" spans="2:3" ht="12.75">
      <c r="B54" s="3">
        <v>-10</v>
      </c>
      <c r="C54" s="4">
        <v>1.342</v>
      </c>
    </row>
    <row r="55" spans="2:6" ht="12.75">
      <c r="B55" s="3">
        <v>-5</v>
      </c>
      <c r="C55" s="4">
        <v>1.317</v>
      </c>
      <c r="F55" t="s">
        <v>49</v>
      </c>
    </row>
    <row r="56" spans="2:7" ht="12.75">
      <c r="B56" s="3">
        <v>0</v>
      </c>
      <c r="C56" s="4">
        <v>1.2929</v>
      </c>
      <c r="F56">
        <v>0.356</v>
      </c>
      <c r="G56" t="s">
        <v>50</v>
      </c>
    </row>
    <row r="57" spans="2:7" ht="12.75">
      <c r="B57" s="3">
        <v>5</v>
      </c>
      <c r="C57" s="4">
        <v>1.2697</v>
      </c>
      <c r="F57">
        <v>0.267</v>
      </c>
      <c r="G57" t="s">
        <v>5</v>
      </c>
    </row>
    <row r="58" spans="2:7" ht="12.75">
      <c r="B58" s="3">
        <v>10</v>
      </c>
      <c r="C58" s="4">
        <v>1.2472</v>
      </c>
      <c r="F58">
        <v>0.233</v>
      </c>
      <c r="G58" t="s">
        <v>51</v>
      </c>
    </row>
    <row r="59" spans="2:7" ht="12.75">
      <c r="B59" s="3">
        <v>15</v>
      </c>
      <c r="C59" s="4">
        <v>1.2256</v>
      </c>
      <c r="F59">
        <v>0.167</v>
      </c>
      <c r="G59" t="s">
        <v>52</v>
      </c>
    </row>
    <row r="60" spans="2:7" ht="12.75">
      <c r="B60" s="3">
        <v>20</v>
      </c>
      <c r="C60" s="4">
        <v>1.2047</v>
      </c>
      <c r="F60">
        <v>0.145</v>
      </c>
      <c r="G60" t="s">
        <v>10</v>
      </c>
    </row>
    <row r="61" spans="2:7" ht="12.75">
      <c r="B61" s="3">
        <v>25</v>
      </c>
      <c r="C61" s="4">
        <v>1.1845</v>
      </c>
      <c r="F61">
        <v>0.12</v>
      </c>
      <c r="G61" t="s">
        <v>53</v>
      </c>
    </row>
    <row r="62" spans="2:7" ht="12.75">
      <c r="B62" s="3">
        <v>30</v>
      </c>
      <c r="C62" s="4">
        <v>1.1649</v>
      </c>
      <c r="F62">
        <v>0.1</v>
      </c>
      <c r="G62" t="s">
        <v>54</v>
      </c>
    </row>
    <row r="63" spans="2:6" ht="12.75">
      <c r="B63" s="3">
        <v>35</v>
      </c>
      <c r="C63" s="4">
        <v>1.146</v>
      </c>
      <c r="F63" t="s">
        <v>11</v>
      </c>
    </row>
    <row r="64" spans="2:8" ht="12.75">
      <c r="B64" s="5">
        <v>40</v>
      </c>
      <c r="C64" s="6">
        <v>1.1277</v>
      </c>
      <c r="F64" t="s">
        <v>55</v>
      </c>
      <c r="H64" t="s">
        <v>56</v>
      </c>
    </row>
    <row r="65" spans="6:8" ht="12.75">
      <c r="F65">
        <v>0.0047</v>
      </c>
      <c r="H65" t="s">
        <v>57</v>
      </c>
    </row>
    <row r="66" spans="2:8" ht="12.75">
      <c r="B66" t="s">
        <v>58</v>
      </c>
      <c r="C66">
        <v>0.249</v>
      </c>
      <c r="D66">
        <f>1/C66</f>
        <v>4.016064257028113</v>
      </c>
      <c r="F66">
        <v>0.0051</v>
      </c>
      <c r="H66" t="s">
        <v>59</v>
      </c>
    </row>
    <row r="67" spans="2:8" ht="12.75">
      <c r="B67" t="s">
        <v>60</v>
      </c>
      <c r="C67">
        <v>1.4</v>
      </c>
      <c r="D67" t="s">
        <v>61</v>
      </c>
      <c r="F67">
        <v>0.0066</v>
      </c>
      <c r="H67" t="s">
        <v>62</v>
      </c>
    </row>
    <row r="68" spans="6:8" ht="12.75">
      <c r="F68">
        <v>0.012</v>
      </c>
      <c r="H68" t="s">
        <v>63</v>
      </c>
    </row>
    <row r="69" spans="2:9" ht="12.75">
      <c r="B69" s="7"/>
      <c r="C69" s="7"/>
      <c r="D69" s="7"/>
      <c r="E69" s="7"/>
      <c r="F69" s="7"/>
      <c r="G69" s="7"/>
      <c r="H69" s="7"/>
      <c r="I69" s="7"/>
    </row>
  </sheetData>
  <hyperlinks>
    <hyperlink ref="M50" r:id="rId1" display="http://w3.iac.net/~curta/bp/programs.htm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Rufus Chowbuddy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